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queryTables/queryTable3.xml" ContentType="application/vnd.openxmlformats-officedocument.spreadsheetml.queryTable+xml"/>
  <Override PartName="/xl/queryTables/queryTable4.xml" ContentType="application/vnd.openxmlformats-officedocument.spreadsheetml.queryTable+xml"/>
  <Override PartName="/xl/queryTables/queryTable5.xml" ContentType="application/vnd.openxmlformats-officedocument.spreadsheetml.queryTable+xml"/>
  <Override PartName="/xl/queryTables/queryTable6.xml" ContentType="application/vnd.openxmlformats-officedocument.spreadsheetml.queryTable+xml"/>
  <Override PartName="/xl/queryTables/queryTable7.xml" ContentType="application/vnd.openxmlformats-officedocument.spreadsheetml.queryTable+xml"/>
  <Override PartName="/xl/queryTables/queryTable8.xml" ContentType="application/vnd.openxmlformats-officedocument.spreadsheetml.queryTable+xml"/>
  <Override PartName="/xl/queryTables/queryTable9.xml" ContentType="application/vnd.openxmlformats-officedocument.spreadsheetml.queryTable+xml"/>
  <Override PartName="/xl/queryTables/queryTable10.xml" ContentType="application/vnd.openxmlformats-officedocument.spreadsheetml.queryTable+xml"/>
  <Override PartName="/xl/queryTables/queryTable11.xml" ContentType="application/vnd.openxmlformats-officedocument.spreadsheetml.queryTable+xml"/>
  <Override PartName="/xl/queryTables/queryTable12.xml" ContentType="application/vnd.openxmlformats-officedocument.spreadsheetml.queryTable+xml"/>
  <Override PartName="/xl/queryTables/queryTable13.xml" ContentType="application/vnd.openxmlformats-officedocument.spreadsheetml.queryTable+xml"/>
  <Override PartName="/xl/queryTables/queryTable14.xml" ContentType="application/vnd.openxmlformats-officedocument.spreadsheetml.queryTable+xml"/>
  <Override PartName="/xl/queryTables/queryTable15.xml" ContentType="application/vnd.openxmlformats-officedocument.spreadsheetml.queryTable+xml"/>
  <Override PartName="/xl/queryTables/queryTable16.xml" ContentType="application/vnd.openxmlformats-officedocument.spreadsheetml.queryTable+xml"/>
  <Override PartName="/xl/queryTables/queryTable17.xml" ContentType="application/vnd.openxmlformats-officedocument.spreadsheetml.queryTable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queryTables/queryTable18.xml" ContentType="application/vnd.openxmlformats-officedocument.spreadsheetml.queryTable+xml"/>
  <Override PartName="/xl/queryTables/queryTable19.xml" ContentType="application/vnd.openxmlformats-officedocument.spreadsheetml.queryTable+xml"/>
  <Override PartName="/xl/queryTables/queryTable20.xml" ContentType="application/vnd.openxmlformats-officedocument.spreadsheetml.queryTable+xml"/>
  <Override PartName="/xl/queryTables/queryTable21.xml" ContentType="application/vnd.openxmlformats-officedocument.spreadsheetml.queryTable+xml"/>
  <Override PartName="/xl/queryTables/queryTable22.xml" ContentType="application/vnd.openxmlformats-officedocument.spreadsheetml.queryTable+xml"/>
  <Override PartName="/xl/queryTables/queryTable23.xml" ContentType="application/vnd.openxmlformats-officedocument.spreadsheetml.queryTable+xml"/>
  <Override PartName="/xl/queryTables/queryTable24.xml" ContentType="application/vnd.openxmlformats-officedocument.spreadsheetml.queryTable+xml"/>
  <Override PartName="/xl/queryTables/queryTable25.xml" ContentType="application/vnd.openxmlformats-officedocument.spreadsheetml.queryTable+xml"/>
  <Override PartName="/xl/queryTables/queryTable26.xml" ContentType="application/vnd.openxmlformats-officedocument.spreadsheetml.queryTable+xml"/>
  <Override PartName="/xl/queryTables/queryTable27.xml" ContentType="application/vnd.openxmlformats-officedocument.spreadsheetml.queryTable+xml"/>
  <Override PartName="/xl/queryTables/queryTable28.xml" ContentType="application/vnd.openxmlformats-officedocument.spreadsheetml.queryTable+xml"/>
  <Override PartName="/xl/queryTables/queryTable29.xml" ContentType="application/vnd.openxmlformats-officedocument.spreadsheetml.queryTable+xml"/>
  <Override PartName="/xl/queryTables/queryTable30.xml" ContentType="application/vnd.openxmlformats-officedocument.spreadsheetml.queryTable+xml"/>
  <Override PartName="/xl/queryTables/queryTable31.xml" ContentType="application/vnd.openxmlformats-officedocument.spreadsheetml.queryTable+xml"/>
  <Override PartName="/xl/queryTables/queryTable32.xml" ContentType="application/vnd.openxmlformats-officedocument.spreadsheetml.queryTable+xml"/>
  <Override PartName="/xl/queryTables/queryTable33.xml" ContentType="application/vnd.openxmlformats-officedocument.spreadsheetml.queryTable+xml"/>
  <Override PartName="/xl/queryTables/queryTable34.xml" ContentType="application/vnd.openxmlformats-officedocument.spreadsheetml.queryTable+xml"/>
  <Override PartName="/xl/drawings/drawing1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/>
  <mc:AlternateContent xmlns:mc="http://schemas.openxmlformats.org/markup-compatibility/2006">
    <mc:Choice Requires="x15">
      <x15ac:absPath xmlns:x15ac="http://schemas.microsoft.com/office/spreadsheetml/2010/11/ac" url="https://d.docs.live.net/62b48b1ac7016e67/JN-rozpočty/Michálek/Jičín-DOZP/20230306/"/>
    </mc:Choice>
  </mc:AlternateContent>
  <xr:revisionPtr revIDLastSave="35" documentId="14_{B0DFF270-9655-4A3D-BA7F-B926996F52C9}" xr6:coauthVersionLast="47" xr6:coauthVersionMax="47" xr10:uidLastSave="{F36B5B02-331D-439E-B7F9-987D6B2726B3}"/>
  <bookViews>
    <workbookView xWindow="-120" yWindow="-120" windowWidth="29040" windowHeight="15840" xr2:uid="{00000000-000D-0000-FFFF-FFFF00000000}"/>
  </bookViews>
  <sheets>
    <sheet name="Rekapitulace stavby" sheetId="1" r:id="rId1"/>
    <sheet name="JC-A - Objekt A" sheetId="2" r:id="rId2"/>
    <sheet name="Objekt A - e - Zdravotní ..." sheetId="9" r:id="rId3"/>
    <sheet name="Objekt A - a - Vytápění" sheetId="5" r:id="rId4"/>
    <sheet name="Objekt A - c - Vzduchotec..." sheetId="7" r:id="rId5"/>
    <sheet name="EL-A" sheetId="14" r:id="rId6"/>
    <sheet name="Objekt A,B - Vodovodní př..." sheetId="11" r:id="rId7"/>
    <sheet name="JC-B - Objekt B" sheetId="3" r:id="rId8"/>
    <sheet name="Objekt B - e - Zdravotní ..." sheetId="10" r:id="rId9"/>
    <sheet name="Objekt  B - a - Vytápění" sheetId="6" r:id="rId10"/>
    <sheet name="Objekt B - c - Vzduchotec..." sheetId="8" r:id="rId11"/>
    <sheet name="EL-B" sheetId="15" r:id="rId12"/>
    <sheet name="JC-C - SO-03-Zpevněné plochy" sheetId="4" r:id="rId13"/>
  </sheets>
  <definedNames>
    <definedName name="_xlnm._FilterDatabase" localSheetId="1" hidden="1">'JC-A - Objekt A'!$C$144:$K$441</definedName>
    <definedName name="_xlnm._FilterDatabase" localSheetId="7" hidden="1">'JC-B - Objekt B'!$C$144:$K$436</definedName>
    <definedName name="_xlnm._FilterDatabase" localSheetId="12" hidden="1">'JC-C - SO-03-Zpevněné plochy'!$C$120:$K$161</definedName>
    <definedName name="_xlnm._FilterDatabase" localSheetId="9" hidden="1">'Objekt  B - a - Vytápění'!$C$122:$K$217</definedName>
    <definedName name="_xlnm._FilterDatabase" localSheetId="3" hidden="1">'Objekt A - a - Vytápění'!$C$122:$K$218</definedName>
    <definedName name="_xlnm._FilterDatabase" localSheetId="4" hidden="1">'Objekt A - c - Vzduchotec...'!$C$118:$K$180</definedName>
    <definedName name="_xlnm._FilterDatabase" localSheetId="2" hidden="1">'Objekt A - e - Zdravotní ...'!$C$127:$K$270</definedName>
    <definedName name="_xlnm._FilterDatabase" localSheetId="6" hidden="1">'Objekt A,B - Vodovodní př...'!$C$118:$K$161</definedName>
    <definedName name="_xlnm._FilterDatabase" localSheetId="10" hidden="1">'Objekt B - c - Vzduchotec...'!$C$118:$K$180</definedName>
    <definedName name="_xlnm._FilterDatabase" localSheetId="8" hidden="1">'Objekt B - e - Zdravotní ...'!$C$127:$K$265</definedName>
    <definedName name="_xlnm.Print_Titles" localSheetId="1">'JC-A - Objekt A'!$144:$144</definedName>
    <definedName name="_xlnm.Print_Titles" localSheetId="7">'JC-B - Objekt B'!$144:$144</definedName>
    <definedName name="_xlnm.Print_Titles" localSheetId="12">'JC-C - SO-03-Zpevněné plochy'!$120:$120</definedName>
    <definedName name="_xlnm.Print_Titles" localSheetId="9">'Objekt  B - a - Vytápění'!$122:$122</definedName>
    <definedName name="_xlnm.Print_Titles" localSheetId="3">'Objekt A - a - Vytápění'!$122:$122</definedName>
    <definedName name="_xlnm.Print_Titles" localSheetId="4">'Objekt A - c - Vzduchotec...'!$118:$118</definedName>
    <definedName name="_xlnm.Print_Titles" localSheetId="2">'Objekt A - e - Zdravotní ...'!$127:$127</definedName>
    <definedName name="_xlnm.Print_Titles" localSheetId="6">'Objekt A,B - Vodovodní př...'!$118:$118</definedName>
    <definedName name="_xlnm.Print_Titles" localSheetId="10">'Objekt B - c - Vzduchotec...'!$118:$118</definedName>
    <definedName name="_xlnm.Print_Titles" localSheetId="8">'Objekt B - e - Zdravotní ...'!$127:$127</definedName>
    <definedName name="_xlnm.Print_Titles" localSheetId="0">'Rekapitulace stavby'!$92:$92</definedName>
    <definedName name="_xlnm.Print_Area" localSheetId="5">'EL-A'!$A$1:$H$519</definedName>
    <definedName name="_xlnm.Print_Area" localSheetId="11">'EL-B'!$A$1:$H$541</definedName>
    <definedName name="_xlnm.Print_Area" localSheetId="1">'JC-A - Objekt A'!$C$4:$J$76,'JC-A - Objekt A'!$C$82:$J$126,'JC-A - Objekt A'!$C$132:$K$441</definedName>
    <definedName name="_xlnm.Print_Area" localSheetId="7">'JC-B - Objekt B'!$C$4:$J$76,'JC-B - Objekt B'!$C$82:$J$126,'JC-B - Objekt B'!$C$132:$K$436</definedName>
    <definedName name="_xlnm.Print_Area" localSheetId="12">'JC-C - SO-03-Zpevněné plochy'!$C$4:$J$76,'JC-C - SO-03-Zpevněné plochy'!$C$82:$J$102,'JC-C - SO-03-Zpevněné plochy'!$C$108:$K$161</definedName>
    <definedName name="_xlnm.Print_Area" localSheetId="9">'Objekt  B - a - Vytápění'!$C$4:$J$76,'Objekt  B - a - Vytápění'!$C$82:$J$104,'Objekt  B - a - Vytápění'!$C$110:$K$217</definedName>
    <definedName name="_xlnm.Print_Area" localSheetId="3">'Objekt A - a - Vytápění'!$C$4:$J$76,'Objekt A - a - Vytápění'!$C$82:$J$104,'Objekt A - a - Vytápění'!$C$110:$K$218</definedName>
    <definedName name="_xlnm.Print_Area" localSheetId="4">'Objekt A - c - Vzduchotec...'!$C$4:$J$76,'Objekt A - c - Vzduchotec...'!$C$82:$J$100,'Objekt A - c - Vzduchotec...'!$C$106:$K$180</definedName>
    <definedName name="_xlnm.Print_Area" localSheetId="2">'Objekt A - e - Zdravotní ...'!$C$4:$J$76,'Objekt A - e - Zdravotní ...'!$C$82:$J$109,'Objekt A - e - Zdravotní ...'!$C$115:$K$270</definedName>
    <definedName name="_xlnm.Print_Area" localSheetId="6">'Objekt A,B - Vodovodní př...'!$C$4:$J$76,'Objekt A,B - Vodovodní př...'!$C$82:$J$100,'Objekt A,B - Vodovodní př...'!$C$106:$K$161</definedName>
    <definedName name="_xlnm.Print_Area" localSheetId="10">'Objekt B - c - Vzduchotec...'!$C$4:$J$76,'Objekt B - c - Vzduchotec...'!$C$82:$J$100,'Objekt B - c - Vzduchotec...'!$C$106:$K$180</definedName>
    <definedName name="_xlnm.Print_Area" localSheetId="8">'Objekt B - e - Zdravotní ...'!$C$4:$J$76,'Objekt B - e - Zdravotní ...'!$C$82:$J$109,'Objekt B - e - Zdravotní ...'!$C$115:$K$265</definedName>
    <definedName name="_xlnm.Print_Area" localSheetId="0">'Rekapitulace stavby'!$D$4:$AO$76,'Rekapitulace stavby'!$C$82:$AQ$98</definedName>
    <definedName name="Rozpočet1" localSheetId="5">'EL-A'!$B$2:$F$2</definedName>
    <definedName name="Rozpočet1" localSheetId="11">'EL-B'!$B$2:$F$2</definedName>
    <definedName name="Rozpočet1_1" localSheetId="5">'EL-A'!#REF!</definedName>
    <definedName name="Rozpočet1_1" localSheetId="11">'EL-B'!#REF!</definedName>
    <definedName name="Rozpočet1_10" localSheetId="5">'EL-A'!#REF!</definedName>
    <definedName name="Rozpočet1_10" localSheetId="11">'EL-B'!#REF!</definedName>
    <definedName name="Rozpočet1_100" localSheetId="5">'EL-A'!$B$276:$F$276</definedName>
    <definedName name="Rozpočet1_100" localSheetId="11">'EL-B'!$B$273:$F$273</definedName>
    <definedName name="Rozpočet1_101" localSheetId="5">'EL-A'!$B$107:$F$107</definedName>
    <definedName name="Rozpočet1_101" localSheetId="11">'EL-B'!#REF!</definedName>
    <definedName name="Rozpočet1_102" localSheetId="5">'EL-A'!#REF!</definedName>
    <definedName name="Rozpočet1_102" localSheetId="11">'EL-B'!#REF!</definedName>
    <definedName name="Rozpočet1_103" localSheetId="5">'EL-A'!#REF!</definedName>
    <definedName name="Rozpočet1_103" localSheetId="11">'EL-B'!#REF!</definedName>
    <definedName name="Rozpočet1_104" localSheetId="5">'EL-A'!#REF!</definedName>
    <definedName name="Rozpočet1_104" localSheetId="11">'EL-B'!#REF!</definedName>
    <definedName name="Rozpočet1_105" localSheetId="5">'EL-A'!#REF!</definedName>
    <definedName name="Rozpočet1_105" localSheetId="11">'EL-B'!#REF!</definedName>
    <definedName name="Rozpočet1_106" localSheetId="5">'EL-A'!#REF!</definedName>
    <definedName name="Rozpočet1_106" localSheetId="11">'EL-B'!#REF!</definedName>
    <definedName name="Rozpočet1_107" localSheetId="5">'EL-A'!#REF!</definedName>
    <definedName name="Rozpočet1_107" localSheetId="11">'EL-B'!#REF!</definedName>
    <definedName name="Rozpočet1_108" localSheetId="5">'EL-A'!#REF!</definedName>
    <definedName name="Rozpočet1_108" localSheetId="11">'EL-B'!#REF!</definedName>
    <definedName name="Rozpočet1_109" localSheetId="5">'EL-A'!$B$403:$F$403</definedName>
    <definedName name="Rozpočet1_109" localSheetId="11">'EL-B'!$B$402:$F$402</definedName>
    <definedName name="Rozpočet1_11" localSheetId="5">'EL-A'!#REF!</definedName>
    <definedName name="Rozpočet1_11" localSheetId="11">'EL-B'!#REF!</definedName>
    <definedName name="Rozpočet1_117" localSheetId="5">'EL-A'!$B$426:$F$426</definedName>
    <definedName name="Rozpočet1_117" localSheetId="11">'EL-B'!$B$425:$F$425</definedName>
    <definedName name="Rozpočet1_118" localSheetId="5">'EL-A'!$B$139:$F$139</definedName>
    <definedName name="Rozpočet1_118" localSheetId="11">'EL-B'!#REF!</definedName>
    <definedName name="Rozpočet1_119" localSheetId="5">'EL-A'!$B$162:$F$162</definedName>
    <definedName name="Rozpočet1_119" localSheetId="11">'EL-B'!#REF!</definedName>
    <definedName name="Rozpočet1_12" localSheetId="5">'EL-A'!#REF!</definedName>
    <definedName name="Rozpočet1_12" localSheetId="11">'EL-B'!#REF!</definedName>
    <definedName name="Rozpočet1_120" localSheetId="5">'EL-A'!$B$183:$F$183</definedName>
    <definedName name="Rozpočet1_120" localSheetId="11">'EL-B'!#REF!</definedName>
    <definedName name="Rozpočet1_121" localSheetId="5">'EL-A'!#REF!</definedName>
    <definedName name="Rozpočet1_121" localSheetId="11">'EL-B'!$B$106:$F$106</definedName>
    <definedName name="Rozpočet1_122" localSheetId="5">'EL-A'!#REF!</definedName>
    <definedName name="Rozpočet1_122" localSheetId="11">'EL-B'!$B$140:$F$140</definedName>
    <definedName name="Rozpočet1_123" localSheetId="5">'EL-A'!#REF!</definedName>
    <definedName name="Rozpočet1_123" localSheetId="11">'EL-B'!$B$162:$F$162</definedName>
    <definedName name="Rozpočet1_124" localSheetId="5">'EL-A'!#REF!</definedName>
    <definedName name="Rozpočet1_124" localSheetId="11">'EL-B'!$B$183:$F$183</definedName>
    <definedName name="Rozpočet1_125" localSheetId="5">'EL-A'!$B$205:$F$205</definedName>
    <definedName name="Rozpočet1_125" localSheetId="11">'EL-B'!$B$205:$F$205</definedName>
    <definedName name="Rozpočet1_126" localSheetId="5">'EL-A'!$B$227:$F$227</definedName>
    <definedName name="Rozpočet1_126" localSheetId="11">'EL-B'!$B$227:$F$227</definedName>
    <definedName name="Rozpočet1_127" localSheetId="5">'EL-A'!$B$445:$F$445</definedName>
    <definedName name="Rozpočet1_127" localSheetId="11">'EL-B'!$B$444:$F$444</definedName>
    <definedName name="Rozpočet1_13" localSheetId="5">'EL-A'!#REF!</definedName>
    <definedName name="Rozpočet1_13" localSheetId="11">'EL-B'!#REF!</definedName>
    <definedName name="Rozpočet1_14" localSheetId="5">'EL-A'!#REF!</definedName>
    <definedName name="Rozpočet1_14" localSheetId="11">'EL-B'!#REF!</definedName>
    <definedName name="Rozpočet1_15" localSheetId="5">'EL-A'!#REF!</definedName>
    <definedName name="Rozpočet1_15" localSheetId="11">'EL-B'!#REF!</definedName>
    <definedName name="Rozpočet1_16" localSheetId="5">'EL-A'!#REF!</definedName>
    <definedName name="Rozpočet1_16" localSheetId="11">'EL-B'!#REF!</definedName>
    <definedName name="Rozpočet1_17" localSheetId="5">'EL-A'!#REF!</definedName>
    <definedName name="Rozpočet1_17" localSheetId="11">'EL-B'!#REF!</definedName>
    <definedName name="Rozpočet1_18" localSheetId="5">'EL-A'!#REF!</definedName>
    <definedName name="Rozpočet1_18" localSheetId="11">'EL-B'!#REF!</definedName>
    <definedName name="Rozpočet1_19" localSheetId="5">'EL-A'!#REF!</definedName>
    <definedName name="Rozpočet1_19" localSheetId="11">'EL-B'!#REF!</definedName>
    <definedName name="Rozpočet1_2" localSheetId="5">'EL-A'!#REF!</definedName>
    <definedName name="Rozpočet1_2" localSheetId="11">'EL-B'!#REF!</definedName>
    <definedName name="Rozpočet1_20" localSheetId="5">'EL-A'!#REF!</definedName>
    <definedName name="Rozpočet1_20" localSheetId="11">'EL-B'!#REF!</definedName>
    <definedName name="Rozpočet1_21" localSheetId="5">'EL-A'!#REF!</definedName>
    <definedName name="Rozpočet1_21" localSheetId="11">'EL-B'!#REF!</definedName>
    <definedName name="Rozpočet1_22" localSheetId="5">'EL-A'!#REF!</definedName>
    <definedName name="Rozpočet1_22" localSheetId="11">'EL-B'!#REF!</definedName>
    <definedName name="Rozpočet1_23" localSheetId="5">'EL-A'!#REF!</definedName>
    <definedName name="Rozpočet1_23" localSheetId="11">'EL-B'!#REF!</definedName>
    <definedName name="Rozpočet1_24" localSheetId="5">'EL-A'!#REF!</definedName>
    <definedName name="Rozpočet1_24" localSheetId="11">'EL-B'!#REF!</definedName>
    <definedName name="Rozpočet1_25" localSheetId="5">'EL-A'!#REF!</definedName>
    <definedName name="Rozpočet1_25" localSheetId="11">'EL-B'!#REF!</definedName>
    <definedName name="Rozpočet1_26" localSheetId="5">'EL-A'!#REF!</definedName>
    <definedName name="Rozpočet1_26" localSheetId="11">'EL-B'!#REF!</definedName>
    <definedName name="Rozpočet1_27" localSheetId="5">'EL-A'!#REF!</definedName>
    <definedName name="Rozpočet1_27" localSheetId="11">'EL-B'!#REF!</definedName>
    <definedName name="Rozpočet1_28" localSheetId="5">'EL-A'!#REF!</definedName>
    <definedName name="Rozpočet1_28" localSheetId="11">'EL-B'!#REF!</definedName>
    <definedName name="Rozpočet1_29" localSheetId="5">'EL-A'!#REF!</definedName>
    <definedName name="Rozpočet1_29" localSheetId="11">'EL-B'!#REF!</definedName>
    <definedName name="Rozpočet1_3" localSheetId="5">'EL-A'!#REF!</definedName>
    <definedName name="Rozpočet1_3" localSheetId="11">'EL-B'!#REF!</definedName>
    <definedName name="Rozpočet1_30" localSheetId="5">'EL-A'!#REF!</definedName>
    <definedName name="Rozpočet1_30" localSheetId="11">'EL-B'!#REF!</definedName>
    <definedName name="Rozpočet1_31" localSheetId="5">'EL-A'!#REF!</definedName>
    <definedName name="Rozpočet1_31" localSheetId="11">'EL-B'!#REF!</definedName>
    <definedName name="Rozpočet1_32" localSheetId="5">'EL-A'!#REF!</definedName>
    <definedName name="Rozpočet1_32" localSheetId="11">'EL-B'!#REF!</definedName>
    <definedName name="Rozpočet1_33" localSheetId="5">'EL-A'!#REF!</definedName>
    <definedName name="Rozpočet1_33" localSheetId="11">'EL-B'!#REF!</definedName>
    <definedName name="Rozpočet1_34" localSheetId="5">'EL-A'!#REF!</definedName>
    <definedName name="Rozpočet1_34" localSheetId="11">'EL-B'!#REF!</definedName>
    <definedName name="Rozpočet1_35" localSheetId="5">'EL-A'!#REF!</definedName>
    <definedName name="Rozpočet1_35" localSheetId="11">'EL-B'!#REF!</definedName>
    <definedName name="Rozpočet1_36" localSheetId="5">'EL-A'!#REF!</definedName>
    <definedName name="Rozpočet1_36" localSheetId="11">'EL-B'!#REF!</definedName>
    <definedName name="Rozpočet1_37" localSheetId="5">'EL-A'!#REF!</definedName>
    <definedName name="Rozpočet1_37" localSheetId="11">'EL-B'!#REF!</definedName>
    <definedName name="Rozpočet1_38" localSheetId="5">'EL-A'!#REF!</definedName>
    <definedName name="Rozpočet1_38" localSheetId="11">'EL-B'!#REF!</definedName>
    <definedName name="Rozpočet1_39" localSheetId="5">'EL-A'!#REF!</definedName>
    <definedName name="Rozpočet1_39" localSheetId="11">'EL-B'!#REF!</definedName>
    <definedName name="Rozpočet1_4" localSheetId="5">'EL-A'!#REF!</definedName>
    <definedName name="Rozpočet1_4" localSheetId="11">'EL-B'!#REF!</definedName>
    <definedName name="Rozpočet1_40" localSheetId="5">'EL-A'!#REF!</definedName>
    <definedName name="Rozpočet1_40" localSheetId="11">'EL-B'!#REF!</definedName>
    <definedName name="Rozpočet1_41" localSheetId="5">'EL-A'!#REF!</definedName>
    <definedName name="Rozpočet1_41" localSheetId="11">'EL-B'!#REF!</definedName>
    <definedName name="Rozpočet1_42" localSheetId="5">'EL-A'!$B$488:$F$488</definedName>
    <definedName name="Rozpočet1_42" localSheetId="11">'EL-B'!$B$510:$F$510</definedName>
    <definedName name="Rozpočet1_5" localSheetId="5">'EL-A'!#REF!</definedName>
    <definedName name="Rozpočet1_5" localSheetId="11">'EL-B'!#REF!</definedName>
    <definedName name="Rozpočet1_6" localSheetId="5">'EL-A'!#REF!</definedName>
    <definedName name="Rozpočet1_6" localSheetId="11">'EL-B'!#REF!</definedName>
    <definedName name="Rozpočet1_7" localSheetId="5">'EL-A'!#REF!</definedName>
    <definedName name="Rozpočet1_7" localSheetId="11">'EL-B'!#REF!</definedName>
    <definedName name="Rozpočet1_76" localSheetId="5">'EL-A'!#REF!</definedName>
    <definedName name="Rozpočet1_76" localSheetId="11">'EL-B'!#REF!</definedName>
    <definedName name="Rozpočet1_77" localSheetId="5">'EL-A'!#REF!</definedName>
    <definedName name="Rozpočet1_77" localSheetId="11">'EL-B'!#REF!</definedName>
    <definedName name="Rozpočet1_78" localSheetId="5">'EL-A'!$B$464:$F$464</definedName>
    <definedName name="Rozpočet1_78" localSheetId="11">'EL-B'!$B$463:$F$463</definedName>
    <definedName name="Rozpočet1_8" localSheetId="5">'EL-A'!#REF!</definedName>
    <definedName name="Rozpočet1_8" localSheetId="11">'EL-B'!#REF!</definedName>
    <definedName name="Rozpočet1_81" localSheetId="5">'EL-A'!$B$306:$F$306</definedName>
    <definedName name="Rozpočet1_81" localSheetId="11">'EL-B'!$B$303:$F$303</definedName>
    <definedName name="Rozpočet1_86" localSheetId="5">'EL-A'!#REF!</definedName>
    <definedName name="Rozpočet1_86" localSheetId="11">'EL-B'!#REF!</definedName>
    <definedName name="Rozpočet1_9" localSheetId="5">'EL-A'!#REF!</definedName>
    <definedName name="Rozpočet1_9" localSheetId="11">'EL-B'!#REF!</definedName>
    <definedName name="Rozpočet1_90" localSheetId="5">'EL-A'!#REF!</definedName>
    <definedName name="Rozpočet1_90" localSheetId="11">'EL-B'!#REF!</definedName>
    <definedName name="Rozpočet1_91" localSheetId="5">'EL-A'!#REF!</definedName>
    <definedName name="Rozpočet1_91" localSheetId="11">'EL-B'!#REF!</definedName>
    <definedName name="Rozpočet1_92" localSheetId="5">'EL-A'!$B$247:$F$247</definedName>
    <definedName name="Rozpočet1_92" localSheetId="11">'EL-B'!$B$247:$F$247</definedName>
    <definedName name="Rozpočet1_93" localSheetId="5">'EL-A'!$B$82:$F$82</definedName>
    <definedName name="Rozpočet1_93" localSheetId="11">'EL-B'!$B$79:$F$79</definedName>
    <definedName name="Rozpočet1_94" localSheetId="5">'EL-A'!#REF!</definedName>
    <definedName name="Rozpočet1_94" localSheetId="11">'EL-B'!#REF!</definedName>
    <definedName name="Rozpočet1_95" localSheetId="5">'EL-A'!$B$369:$F$369</definedName>
    <definedName name="Rozpočet1_95" localSheetId="11">'EL-B'!$B$368:$F$368</definedName>
    <definedName name="Rozpočet1_99" localSheetId="5">'EL-A'!#REF!</definedName>
    <definedName name="Rozpočet1_99" localSheetId="11">'EL-B'!#REF!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" i="15" l="1"/>
  <c r="F3" i="15" s="1"/>
  <c r="E3" i="15"/>
  <c r="G3" i="15"/>
  <c r="H3" i="15" s="1"/>
  <c r="A4" i="15"/>
  <c r="D4" i="15"/>
  <c r="F4" i="15" s="1"/>
  <c r="E4" i="15"/>
  <c r="G4" i="15"/>
  <c r="H4" i="15"/>
  <c r="A5" i="15"/>
  <c r="D5" i="15"/>
  <c r="F5" i="15" s="1"/>
  <c r="E5" i="15"/>
  <c r="G5" i="15"/>
  <c r="H5" i="15"/>
  <c r="A6" i="15"/>
  <c r="D6" i="15"/>
  <c r="F6" i="15" s="1"/>
  <c r="E6" i="15"/>
  <c r="G6" i="15"/>
  <c r="H6" i="15"/>
  <c r="A7" i="15"/>
  <c r="D7" i="15"/>
  <c r="F7" i="15" s="1"/>
  <c r="E7" i="15"/>
  <c r="G7" i="15"/>
  <c r="H7" i="15" s="1"/>
  <c r="A8" i="15"/>
  <c r="D8" i="15"/>
  <c r="F8" i="15" s="1"/>
  <c r="E8" i="15"/>
  <c r="G8" i="15"/>
  <c r="H8" i="15"/>
  <c r="A9" i="15"/>
  <c r="D9" i="15"/>
  <c r="F9" i="15" s="1"/>
  <c r="E9" i="15"/>
  <c r="G9" i="15"/>
  <c r="H9" i="15" s="1"/>
  <c r="A10" i="15"/>
  <c r="D10" i="15"/>
  <c r="F10" i="15" s="1"/>
  <c r="E10" i="15"/>
  <c r="G10" i="15"/>
  <c r="H10" i="15"/>
  <c r="A11" i="15"/>
  <c r="E11" i="15"/>
  <c r="F11" i="15"/>
  <c r="G11" i="15"/>
  <c r="H11" i="15"/>
  <c r="A12" i="15"/>
  <c r="A13" i="15" s="1"/>
  <c r="A14" i="15" s="1"/>
  <c r="A15" i="15" s="1"/>
  <c r="A16" i="15" s="1"/>
  <c r="A17" i="15" s="1"/>
  <c r="A18" i="15" s="1"/>
  <c r="E12" i="15"/>
  <c r="F12" i="15"/>
  <c r="G12" i="15"/>
  <c r="H12" i="15" s="1"/>
  <c r="E13" i="15"/>
  <c r="F13" i="15" s="1"/>
  <c r="G13" i="15"/>
  <c r="H13" i="15"/>
  <c r="E14" i="15"/>
  <c r="F14" i="15" s="1"/>
  <c r="G14" i="15"/>
  <c r="H14" i="15"/>
  <c r="E15" i="15"/>
  <c r="F15" i="15"/>
  <c r="G15" i="15"/>
  <c r="H15" i="15" s="1"/>
  <c r="E16" i="15"/>
  <c r="F16" i="15" s="1"/>
  <c r="G16" i="15"/>
  <c r="H16" i="15"/>
  <c r="E17" i="15"/>
  <c r="F17" i="15"/>
  <c r="G17" i="15"/>
  <c r="H17" i="15"/>
  <c r="E18" i="15"/>
  <c r="F18" i="15"/>
  <c r="G18" i="15"/>
  <c r="H18" i="15" s="1"/>
  <c r="A19" i="15"/>
  <c r="A20" i="15" s="1"/>
  <c r="A21" i="15" s="1"/>
  <c r="A22" i="15" s="1"/>
  <c r="A23" i="15" s="1"/>
  <c r="A24" i="15" s="1"/>
  <c r="A25" i="15" s="1"/>
  <c r="A26" i="15" s="1"/>
  <c r="A27" i="15" s="1"/>
  <c r="A28" i="15" s="1"/>
  <c r="A29" i="15" s="1"/>
  <c r="A30" i="15" s="1"/>
  <c r="E19" i="15"/>
  <c r="F19" i="15" s="1"/>
  <c r="G19" i="15"/>
  <c r="H19" i="15"/>
  <c r="E20" i="15"/>
  <c r="F20" i="15" s="1"/>
  <c r="G20" i="15"/>
  <c r="H20" i="15"/>
  <c r="G21" i="15"/>
  <c r="H21" i="15" s="1"/>
  <c r="I21" i="15"/>
  <c r="E21" i="15" s="1"/>
  <c r="F21" i="15" s="1"/>
  <c r="G22" i="15"/>
  <c r="H22" i="15" s="1"/>
  <c r="I22" i="15"/>
  <c r="E22" i="15" s="1"/>
  <c r="F22" i="15" s="1"/>
  <c r="D23" i="15"/>
  <c r="E23" i="15"/>
  <c r="F23" i="15" s="1"/>
  <c r="G23" i="15"/>
  <c r="H23" i="15"/>
  <c r="D24" i="15"/>
  <c r="E24" i="15"/>
  <c r="F24" i="15"/>
  <c r="G24" i="15"/>
  <c r="H24" i="15"/>
  <c r="D25" i="15"/>
  <c r="E25" i="15"/>
  <c r="F25" i="15"/>
  <c r="G25" i="15"/>
  <c r="H25" i="15"/>
  <c r="D26" i="15"/>
  <c r="E26" i="15"/>
  <c r="F26" i="15" s="1"/>
  <c r="G26" i="15"/>
  <c r="H26" i="15"/>
  <c r="E27" i="15"/>
  <c r="F27" i="15"/>
  <c r="G27" i="15"/>
  <c r="H27" i="15" s="1"/>
  <c r="E28" i="15"/>
  <c r="F28" i="15" s="1"/>
  <c r="G28" i="15"/>
  <c r="H28" i="15"/>
  <c r="E29" i="15"/>
  <c r="F29" i="15"/>
  <c r="G29" i="15"/>
  <c r="H29" i="15"/>
  <c r="E30" i="15"/>
  <c r="F30" i="15"/>
  <c r="G30" i="15"/>
  <c r="H30" i="15" s="1"/>
  <c r="A31" i="15"/>
  <c r="A32" i="15" s="1"/>
  <c r="A33" i="15" s="1"/>
  <c r="A34" i="15" s="1"/>
  <c r="A35" i="15" s="1"/>
  <c r="A36" i="15" s="1"/>
  <c r="A37" i="15" s="1"/>
  <c r="A38" i="15" s="1"/>
  <c r="A39" i="15" s="1"/>
  <c r="A40" i="15" s="1"/>
  <c r="A41" i="15" s="1"/>
  <c r="A42" i="15" s="1"/>
  <c r="A43" i="15" s="1"/>
  <c r="A44" i="15" s="1"/>
  <c r="A45" i="15" s="1"/>
  <c r="A46" i="15" s="1"/>
  <c r="A47" i="15" s="1"/>
  <c r="A48" i="15" s="1"/>
  <c r="A49" i="15" s="1"/>
  <c r="A50" i="15" s="1"/>
  <c r="A51" i="15" s="1"/>
  <c r="A52" i="15" s="1"/>
  <c r="A53" i="15" s="1"/>
  <c r="A54" i="15" s="1"/>
  <c r="A55" i="15" s="1"/>
  <c r="A56" i="15" s="1"/>
  <c r="E31" i="15"/>
  <c r="F31" i="15" s="1"/>
  <c r="G31" i="15"/>
  <c r="H31" i="15"/>
  <c r="D32" i="15"/>
  <c r="E32" i="15"/>
  <c r="G32" i="15"/>
  <c r="D33" i="15"/>
  <c r="E33" i="15"/>
  <c r="G33" i="15"/>
  <c r="D34" i="15"/>
  <c r="E34" i="15"/>
  <c r="G34" i="15"/>
  <c r="I34" i="15"/>
  <c r="D35" i="15"/>
  <c r="E35" i="15"/>
  <c r="G35" i="15"/>
  <c r="D36" i="15"/>
  <c r="E36" i="15"/>
  <c r="G36" i="15"/>
  <c r="D37" i="15"/>
  <c r="G37" i="15"/>
  <c r="I37" i="15"/>
  <c r="E37" i="15" s="1"/>
  <c r="D38" i="15"/>
  <c r="G38" i="15"/>
  <c r="H38" i="15"/>
  <c r="I38" i="15"/>
  <c r="E38" i="15" s="1"/>
  <c r="F38" i="15" s="1"/>
  <c r="D39" i="15"/>
  <c r="F39" i="15" s="1"/>
  <c r="E39" i="15"/>
  <c r="G39" i="15"/>
  <c r="H39" i="15"/>
  <c r="I39" i="15"/>
  <c r="D40" i="15"/>
  <c r="H40" i="15" s="1"/>
  <c r="G40" i="15"/>
  <c r="I40" i="15"/>
  <c r="E40" i="15" s="1"/>
  <c r="F40" i="15" s="1"/>
  <c r="D41" i="15"/>
  <c r="E41" i="15"/>
  <c r="F41" i="15"/>
  <c r="G41" i="15"/>
  <c r="H41" i="15"/>
  <c r="I41" i="15"/>
  <c r="D42" i="15"/>
  <c r="E42" i="15"/>
  <c r="G42" i="15"/>
  <c r="D43" i="15"/>
  <c r="E43" i="15"/>
  <c r="G43" i="15"/>
  <c r="D44" i="15"/>
  <c r="E44" i="15"/>
  <c r="G44" i="15"/>
  <c r="D45" i="15"/>
  <c r="E45" i="15"/>
  <c r="G45" i="15"/>
  <c r="D46" i="15"/>
  <c r="E46" i="15"/>
  <c r="G46" i="15"/>
  <c r="E47" i="15"/>
  <c r="F47" i="15"/>
  <c r="G47" i="15"/>
  <c r="H47" i="15"/>
  <c r="D48" i="15"/>
  <c r="E48" i="15"/>
  <c r="F48" i="15" s="1"/>
  <c r="G48" i="15"/>
  <c r="H48" i="15"/>
  <c r="I48" i="15"/>
  <c r="D49" i="15"/>
  <c r="E49" i="15"/>
  <c r="G49" i="15"/>
  <c r="D50" i="15"/>
  <c r="E50" i="15"/>
  <c r="G50" i="15"/>
  <c r="D51" i="15"/>
  <c r="E51" i="15"/>
  <c r="G51" i="15"/>
  <c r="D52" i="15"/>
  <c r="E52" i="15"/>
  <c r="G52" i="15"/>
  <c r="D53" i="15"/>
  <c r="E53" i="15"/>
  <c r="G53" i="15"/>
  <c r="E54" i="15"/>
  <c r="F54" i="15"/>
  <c r="G54" i="15"/>
  <c r="H54" i="15"/>
  <c r="D55" i="15"/>
  <c r="E55" i="15"/>
  <c r="F55" i="15"/>
  <c r="G55" i="15"/>
  <c r="H55" i="15"/>
  <c r="D56" i="15"/>
  <c r="E56" i="15"/>
  <c r="F56" i="15" s="1"/>
  <c r="G56" i="15"/>
  <c r="H56" i="15"/>
  <c r="E57" i="15"/>
  <c r="F57" i="15"/>
  <c r="G57" i="15"/>
  <c r="H57" i="15" s="1"/>
  <c r="E58" i="15"/>
  <c r="F58" i="15" s="1"/>
  <c r="G58" i="15"/>
  <c r="H58" i="15"/>
  <c r="E59" i="15"/>
  <c r="F59" i="15"/>
  <c r="G59" i="15"/>
  <c r="H59" i="15"/>
  <c r="E60" i="15"/>
  <c r="F60" i="15"/>
  <c r="G60" i="15"/>
  <c r="H60" i="15" s="1"/>
  <c r="E61" i="15"/>
  <c r="F61" i="15" s="1"/>
  <c r="G61" i="15"/>
  <c r="H61" i="15"/>
  <c r="E62" i="15"/>
  <c r="F62" i="15" s="1"/>
  <c r="G62" i="15"/>
  <c r="H62" i="15"/>
  <c r="E63" i="15"/>
  <c r="F63" i="15"/>
  <c r="G63" i="15"/>
  <c r="H63" i="15" s="1"/>
  <c r="E64" i="15"/>
  <c r="F64" i="15" s="1"/>
  <c r="G64" i="15"/>
  <c r="H64" i="15" s="1"/>
  <c r="E65" i="15"/>
  <c r="F65" i="15"/>
  <c r="G65" i="15"/>
  <c r="H65" i="15"/>
  <c r="E66" i="15"/>
  <c r="F66" i="15"/>
  <c r="G66" i="15"/>
  <c r="H66" i="15" s="1"/>
  <c r="E67" i="15"/>
  <c r="F67" i="15" s="1"/>
  <c r="G67" i="15"/>
  <c r="H67" i="15"/>
  <c r="E68" i="15"/>
  <c r="F68" i="15"/>
  <c r="G68" i="15"/>
  <c r="H68" i="15"/>
  <c r="E69" i="15"/>
  <c r="F69" i="15"/>
  <c r="G69" i="15"/>
  <c r="H69" i="15" s="1"/>
  <c r="D70" i="15"/>
  <c r="E70" i="15"/>
  <c r="F70" i="15"/>
  <c r="G70" i="15"/>
  <c r="E80" i="15"/>
  <c r="F80" i="15"/>
  <c r="G80" i="15"/>
  <c r="H80" i="15" s="1"/>
  <c r="E81" i="15"/>
  <c r="F81" i="15" s="1"/>
  <c r="G81" i="15"/>
  <c r="H81" i="15"/>
  <c r="E82" i="15"/>
  <c r="F82" i="15"/>
  <c r="G82" i="15"/>
  <c r="H82" i="15"/>
  <c r="D83" i="15"/>
  <c r="E83" i="15"/>
  <c r="F83" i="15"/>
  <c r="G83" i="15"/>
  <c r="H83" i="15"/>
  <c r="E84" i="15"/>
  <c r="F84" i="15"/>
  <c r="G84" i="15"/>
  <c r="H84" i="15" s="1"/>
  <c r="E85" i="15"/>
  <c r="F85" i="15" s="1"/>
  <c r="G85" i="15"/>
  <c r="H85" i="15"/>
  <c r="D86" i="15"/>
  <c r="E86" i="15"/>
  <c r="G86" i="15"/>
  <c r="H86" i="15" s="1"/>
  <c r="E87" i="15"/>
  <c r="F87" i="15"/>
  <c r="G87" i="15"/>
  <c r="H87" i="15"/>
  <c r="E88" i="15"/>
  <c r="F88" i="15"/>
  <c r="G88" i="15"/>
  <c r="H88" i="15" s="1"/>
  <c r="E89" i="15"/>
  <c r="F89" i="15" s="1"/>
  <c r="G89" i="15"/>
  <c r="H89" i="15"/>
  <c r="E90" i="15"/>
  <c r="F90" i="15"/>
  <c r="G90" i="15"/>
  <c r="H90" i="15"/>
  <c r="E91" i="15"/>
  <c r="F91" i="15"/>
  <c r="G91" i="15"/>
  <c r="H91" i="15" s="1"/>
  <c r="D92" i="15"/>
  <c r="E92" i="15"/>
  <c r="F92" i="15"/>
  <c r="G92" i="15"/>
  <c r="D93" i="15"/>
  <c r="F93" i="15" s="1"/>
  <c r="E93" i="15"/>
  <c r="G93" i="15"/>
  <c r="E94" i="15"/>
  <c r="F94" i="15" s="1"/>
  <c r="G94" i="15"/>
  <c r="H94" i="15" s="1"/>
  <c r="E95" i="15"/>
  <c r="F95" i="15"/>
  <c r="G95" i="15"/>
  <c r="H95" i="15"/>
  <c r="E96" i="15"/>
  <c r="F96" i="15"/>
  <c r="G96" i="15"/>
  <c r="H96" i="15" s="1"/>
  <c r="E97" i="15"/>
  <c r="F97" i="15" s="1"/>
  <c r="G97" i="15"/>
  <c r="H97" i="15"/>
  <c r="E107" i="15"/>
  <c r="F107" i="15" s="1"/>
  <c r="G107" i="15"/>
  <c r="H107" i="15" s="1"/>
  <c r="I107" i="15"/>
  <c r="E108" i="15"/>
  <c r="F108" i="15" s="1"/>
  <c r="G108" i="15"/>
  <c r="H108" i="15" s="1"/>
  <c r="E109" i="15"/>
  <c r="F109" i="15"/>
  <c r="G109" i="15"/>
  <c r="H109" i="15"/>
  <c r="E110" i="15"/>
  <c r="F110" i="15"/>
  <c r="G110" i="15"/>
  <c r="H110" i="15" s="1"/>
  <c r="E111" i="15"/>
  <c r="F111" i="15" s="1"/>
  <c r="G111" i="15"/>
  <c r="H111" i="15"/>
  <c r="E112" i="15"/>
  <c r="F112" i="15" s="1"/>
  <c r="F132" i="15" s="1"/>
  <c r="G112" i="15"/>
  <c r="H112" i="15"/>
  <c r="E113" i="15"/>
  <c r="F113" i="15"/>
  <c r="G113" i="15"/>
  <c r="H113" i="15" s="1"/>
  <c r="E114" i="15"/>
  <c r="F114" i="15" s="1"/>
  <c r="G114" i="15"/>
  <c r="H114" i="15" s="1"/>
  <c r="E115" i="15"/>
  <c r="F115" i="15"/>
  <c r="G115" i="15"/>
  <c r="H115" i="15"/>
  <c r="E116" i="15"/>
  <c r="F116" i="15"/>
  <c r="G116" i="15"/>
  <c r="H116" i="15" s="1"/>
  <c r="E117" i="15"/>
  <c r="F117" i="15" s="1"/>
  <c r="G117" i="15"/>
  <c r="H117" i="15"/>
  <c r="E118" i="15"/>
  <c r="F118" i="15"/>
  <c r="G118" i="15"/>
  <c r="H118" i="15"/>
  <c r="E119" i="15"/>
  <c r="F119" i="15"/>
  <c r="G119" i="15"/>
  <c r="H119" i="15" s="1"/>
  <c r="E120" i="15"/>
  <c r="F120" i="15" s="1"/>
  <c r="G120" i="15"/>
  <c r="H120" i="15"/>
  <c r="E121" i="15"/>
  <c r="F121" i="15"/>
  <c r="G121" i="15"/>
  <c r="H121" i="15"/>
  <c r="E122" i="15"/>
  <c r="F122" i="15"/>
  <c r="G122" i="15"/>
  <c r="H122" i="15" s="1"/>
  <c r="E123" i="15"/>
  <c r="F123" i="15" s="1"/>
  <c r="G123" i="15"/>
  <c r="H123" i="15"/>
  <c r="I123" i="15"/>
  <c r="E124" i="15"/>
  <c r="F124" i="15" s="1"/>
  <c r="G124" i="15"/>
  <c r="H124" i="15"/>
  <c r="E125" i="15"/>
  <c r="F125" i="15" s="1"/>
  <c r="G125" i="15"/>
  <c r="H125" i="15"/>
  <c r="E126" i="15"/>
  <c r="F126" i="15"/>
  <c r="G126" i="15"/>
  <c r="H126" i="15" s="1"/>
  <c r="E127" i="15"/>
  <c r="F127" i="15" s="1"/>
  <c r="G127" i="15"/>
  <c r="H127" i="15" s="1"/>
  <c r="I127" i="15"/>
  <c r="E128" i="15"/>
  <c r="F128" i="15" s="1"/>
  <c r="G128" i="15"/>
  <c r="H128" i="15" s="1"/>
  <c r="E129" i="15"/>
  <c r="F129" i="15"/>
  <c r="G129" i="15"/>
  <c r="H129" i="15"/>
  <c r="E130" i="15"/>
  <c r="F130" i="15"/>
  <c r="G130" i="15"/>
  <c r="H130" i="15" s="1"/>
  <c r="E131" i="15"/>
  <c r="F131" i="15" s="1"/>
  <c r="G131" i="15"/>
  <c r="H131" i="15"/>
  <c r="E141" i="15"/>
  <c r="F141" i="15" s="1"/>
  <c r="G141" i="15"/>
  <c r="H141" i="15" s="1"/>
  <c r="I141" i="15"/>
  <c r="E142" i="15"/>
  <c r="F142" i="15" s="1"/>
  <c r="G142" i="15"/>
  <c r="H142" i="15" s="1"/>
  <c r="E143" i="15"/>
  <c r="F143" i="15"/>
  <c r="G143" i="15"/>
  <c r="H143" i="15"/>
  <c r="E144" i="15"/>
  <c r="F144" i="15"/>
  <c r="G144" i="15"/>
  <c r="H144" i="15" s="1"/>
  <c r="E145" i="15"/>
  <c r="F145" i="15" s="1"/>
  <c r="G145" i="15"/>
  <c r="H145" i="15"/>
  <c r="E146" i="15"/>
  <c r="F146" i="15" s="1"/>
  <c r="G146" i="15"/>
  <c r="H146" i="15"/>
  <c r="E147" i="15"/>
  <c r="F147" i="15"/>
  <c r="G147" i="15"/>
  <c r="H147" i="15" s="1"/>
  <c r="E148" i="15"/>
  <c r="F148" i="15" s="1"/>
  <c r="G148" i="15"/>
  <c r="H148" i="15" s="1"/>
  <c r="E149" i="15"/>
  <c r="F149" i="15"/>
  <c r="G149" i="15"/>
  <c r="H149" i="15"/>
  <c r="E150" i="15"/>
  <c r="F150" i="15"/>
  <c r="G150" i="15"/>
  <c r="H150" i="15" s="1"/>
  <c r="E151" i="15"/>
  <c r="F151" i="15" s="1"/>
  <c r="G151" i="15"/>
  <c r="H151" i="15" s="1"/>
  <c r="E152" i="15"/>
  <c r="F152" i="15"/>
  <c r="G152" i="15"/>
  <c r="H152" i="15"/>
  <c r="E153" i="15"/>
  <c r="F153" i="15"/>
  <c r="G153" i="15"/>
  <c r="H153" i="15" s="1"/>
  <c r="F163" i="15"/>
  <c r="F175" i="15" s="1"/>
  <c r="F176" i="15" s="1"/>
  <c r="G163" i="15"/>
  <c r="H163" i="15" s="1"/>
  <c r="I163" i="15"/>
  <c r="E163" i="15" s="1"/>
  <c r="E164" i="15"/>
  <c r="F164" i="15"/>
  <c r="G164" i="15"/>
  <c r="H164" i="15" s="1"/>
  <c r="E165" i="15"/>
  <c r="F165" i="15" s="1"/>
  <c r="G165" i="15"/>
  <c r="H165" i="15" s="1"/>
  <c r="H175" i="15" s="1"/>
  <c r="E166" i="15"/>
  <c r="F166" i="15"/>
  <c r="G166" i="15"/>
  <c r="H166" i="15"/>
  <c r="E167" i="15"/>
  <c r="F167" i="15"/>
  <c r="G167" i="15"/>
  <c r="H167" i="15" s="1"/>
  <c r="E168" i="15"/>
  <c r="F168" i="15" s="1"/>
  <c r="G168" i="15"/>
  <c r="H168" i="15" s="1"/>
  <c r="E169" i="15"/>
  <c r="F169" i="15"/>
  <c r="G169" i="15"/>
  <c r="H169" i="15"/>
  <c r="E170" i="15"/>
  <c r="F170" i="15"/>
  <c r="G170" i="15"/>
  <c r="H170" i="15" s="1"/>
  <c r="E171" i="15"/>
  <c r="F171" i="15" s="1"/>
  <c r="G171" i="15"/>
  <c r="H171" i="15" s="1"/>
  <c r="E172" i="15"/>
  <c r="F172" i="15"/>
  <c r="G172" i="15"/>
  <c r="H172" i="15"/>
  <c r="E173" i="15"/>
  <c r="F173" i="15"/>
  <c r="G173" i="15"/>
  <c r="H173" i="15" s="1"/>
  <c r="E174" i="15"/>
  <c r="F174" i="15" s="1"/>
  <c r="G174" i="15"/>
  <c r="H174" i="15"/>
  <c r="F178" i="15"/>
  <c r="E515" i="15" s="1"/>
  <c r="E184" i="15"/>
  <c r="F184" i="15" s="1"/>
  <c r="G184" i="15"/>
  <c r="H184" i="15"/>
  <c r="I184" i="15"/>
  <c r="E185" i="15"/>
  <c r="F185" i="15" s="1"/>
  <c r="G185" i="15"/>
  <c r="H185" i="15"/>
  <c r="E186" i="15"/>
  <c r="F186" i="15"/>
  <c r="G186" i="15"/>
  <c r="H186" i="15" s="1"/>
  <c r="E187" i="15"/>
  <c r="F187" i="15"/>
  <c r="G187" i="15"/>
  <c r="H187" i="15" s="1"/>
  <c r="E188" i="15"/>
  <c r="F188" i="15" s="1"/>
  <c r="G188" i="15"/>
  <c r="H188" i="15"/>
  <c r="E189" i="15"/>
  <c r="F189" i="15"/>
  <c r="G189" i="15"/>
  <c r="H189" i="15"/>
  <c r="E190" i="15"/>
  <c r="F190" i="15" s="1"/>
  <c r="G190" i="15"/>
  <c r="H190" i="15" s="1"/>
  <c r="E191" i="15"/>
  <c r="F191" i="15" s="1"/>
  <c r="G191" i="15"/>
  <c r="H191" i="15"/>
  <c r="E192" i="15"/>
  <c r="F192" i="15"/>
  <c r="G192" i="15"/>
  <c r="H192" i="15" s="1"/>
  <c r="E193" i="15"/>
  <c r="F193" i="15"/>
  <c r="G193" i="15"/>
  <c r="H193" i="15" s="1"/>
  <c r="E194" i="15"/>
  <c r="F194" i="15" s="1"/>
  <c r="G194" i="15"/>
  <c r="H194" i="15"/>
  <c r="E195" i="15"/>
  <c r="F195" i="15"/>
  <c r="G195" i="15"/>
  <c r="H195" i="15"/>
  <c r="E196" i="15"/>
  <c r="F196" i="15" s="1"/>
  <c r="G196" i="15"/>
  <c r="H196" i="15" s="1"/>
  <c r="G206" i="15"/>
  <c r="H206" i="15" s="1"/>
  <c r="I206" i="15"/>
  <c r="E206" i="15" s="1"/>
  <c r="F206" i="15" s="1"/>
  <c r="E207" i="15"/>
  <c r="F207" i="15"/>
  <c r="G207" i="15"/>
  <c r="H207" i="15" s="1"/>
  <c r="E208" i="15"/>
  <c r="F208" i="15" s="1"/>
  <c r="G208" i="15"/>
  <c r="H208" i="15"/>
  <c r="E209" i="15"/>
  <c r="F209" i="15"/>
  <c r="G209" i="15"/>
  <c r="H209" i="15"/>
  <c r="E210" i="15"/>
  <c r="F210" i="15" s="1"/>
  <c r="G210" i="15"/>
  <c r="H210" i="15" s="1"/>
  <c r="E211" i="15"/>
  <c r="F211" i="15" s="1"/>
  <c r="G211" i="15"/>
  <c r="H211" i="15"/>
  <c r="E212" i="15"/>
  <c r="F212" i="15"/>
  <c r="G212" i="15"/>
  <c r="H212" i="15" s="1"/>
  <c r="E213" i="15"/>
  <c r="F213" i="15"/>
  <c r="G213" i="15"/>
  <c r="H213" i="15" s="1"/>
  <c r="E214" i="15"/>
  <c r="F214" i="15" s="1"/>
  <c r="G214" i="15"/>
  <c r="H214" i="15"/>
  <c r="E215" i="15"/>
  <c r="F215" i="15"/>
  <c r="G215" i="15"/>
  <c r="H215" i="15"/>
  <c r="E216" i="15"/>
  <c r="F216" i="15" s="1"/>
  <c r="G216" i="15"/>
  <c r="H216" i="15" s="1"/>
  <c r="E217" i="15"/>
  <c r="F217" i="15" s="1"/>
  <c r="G217" i="15"/>
  <c r="H217" i="15"/>
  <c r="E218" i="15"/>
  <c r="F218" i="15"/>
  <c r="G218" i="15"/>
  <c r="H218" i="15" s="1"/>
  <c r="G228" i="15"/>
  <c r="H228" i="15"/>
  <c r="I228" i="15"/>
  <c r="E228" i="15" s="1"/>
  <c r="F228" i="15" s="1"/>
  <c r="F239" i="15" s="1"/>
  <c r="E229" i="15"/>
  <c r="F229" i="15"/>
  <c r="G229" i="15"/>
  <c r="H229" i="15"/>
  <c r="E230" i="15"/>
  <c r="F230" i="15" s="1"/>
  <c r="G230" i="15"/>
  <c r="H230" i="15" s="1"/>
  <c r="E231" i="15"/>
  <c r="F231" i="15" s="1"/>
  <c r="G231" i="15"/>
  <c r="H231" i="15"/>
  <c r="E232" i="15"/>
  <c r="F232" i="15"/>
  <c r="G232" i="15"/>
  <c r="H232" i="15" s="1"/>
  <c r="E233" i="15"/>
  <c r="F233" i="15"/>
  <c r="G233" i="15"/>
  <c r="H233" i="15" s="1"/>
  <c r="E234" i="15"/>
  <c r="F234" i="15" s="1"/>
  <c r="G234" i="15"/>
  <c r="H234" i="15"/>
  <c r="E235" i="15"/>
  <c r="F235" i="15"/>
  <c r="G235" i="15"/>
  <c r="H235" i="15"/>
  <c r="E236" i="15"/>
  <c r="F236" i="15" s="1"/>
  <c r="G236" i="15"/>
  <c r="H236" i="15" s="1"/>
  <c r="E237" i="15"/>
  <c r="F237" i="15" s="1"/>
  <c r="G237" i="15"/>
  <c r="H237" i="15"/>
  <c r="E238" i="15"/>
  <c r="F238" i="15"/>
  <c r="G238" i="15"/>
  <c r="H238" i="15" s="1"/>
  <c r="D248" i="15"/>
  <c r="F248" i="15" s="1"/>
  <c r="E248" i="15"/>
  <c r="G248" i="15"/>
  <c r="H248" i="15"/>
  <c r="I248" i="15"/>
  <c r="D249" i="15"/>
  <c r="G249" i="15"/>
  <c r="I249" i="15"/>
  <c r="E249" i="15" s="1"/>
  <c r="D250" i="15"/>
  <c r="G250" i="15"/>
  <c r="H250" i="15" s="1"/>
  <c r="I250" i="15"/>
  <c r="E250" i="15" s="1"/>
  <c r="F250" i="15" s="1"/>
  <c r="D251" i="15"/>
  <c r="E251" i="15"/>
  <c r="F251" i="15" s="1"/>
  <c r="G251" i="15"/>
  <c r="H251" i="15"/>
  <c r="I251" i="15"/>
  <c r="D252" i="15"/>
  <c r="E252" i="15"/>
  <c r="G252" i="15"/>
  <c r="E253" i="15"/>
  <c r="F253" i="15" s="1"/>
  <c r="G253" i="15"/>
  <c r="H253" i="15"/>
  <c r="I253" i="15"/>
  <c r="D254" i="15"/>
  <c r="E254" i="15"/>
  <c r="G254" i="15"/>
  <c r="D255" i="15"/>
  <c r="E255" i="15"/>
  <c r="G255" i="15"/>
  <c r="D256" i="15"/>
  <c r="E256" i="15"/>
  <c r="G256" i="15"/>
  <c r="D257" i="15"/>
  <c r="E257" i="15"/>
  <c r="G257" i="15"/>
  <c r="D258" i="15"/>
  <c r="E258" i="15"/>
  <c r="G258" i="15"/>
  <c r="D259" i="15"/>
  <c r="E259" i="15"/>
  <c r="G259" i="15"/>
  <c r="D260" i="15"/>
  <c r="E260" i="15"/>
  <c r="G260" i="15"/>
  <c r="E261" i="15"/>
  <c r="F261" i="15" s="1"/>
  <c r="G261" i="15"/>
  <c r="H261" i="15"/>
  <c r="I261" i="15"/>
  <c r="D262" i="15"/>
  <c r="E262" i="15"/>
  <c r="G262" i="15"/>
  <c r="E263" i="15"/>
  <c r="F263" i="15" s="1"/>
  <c r="G263" i="15"/>
  <c r="H263" i="15"/>
  <c r="E264" i="15"/>
  <c r="F264" i="15"/>
  <c r="G264" i="15"/>
  <c r="H264" i="15" s="1"/>
  <c r="D274" i="15"/>
  <c r="F274" i="15" s="1"/>
  <c r="E274" i="15"/>
  <c r="G274" i="15"/>
  <c r="H274" i="15"/>
  <c r="E275" i="15"/>
  <c r="F275" i="15"/>
  <c r="G275" i="15"/>
  <c r="H275" i="15"/>
  <c r="D276" i="15"/>
  <c r="H276" i="15" s="1"/>
  <c r="E276" i="15"/>
  <c r="F276" i="15"/>
  <c r="G276" i="15"/>
  <c r="D277" i="15"/>
  <c r="H277" i="15" s="1"/>
  <c r="E277" i="15"/>
  <c r="G277" i="15"/>
  <c r="D278" i="15"/>
  <c r="H278" i="15" s="1"/>
  <c r="E278" i="15"/>
  <c r="F278" i="15"/>
  <c r="G278" i="15"/>
  <c r="D279" i="15"/>
  <c r="H279" i="15" s="1"/>
  <c r="E279" i="15"/>
  <c r="F279" i="15"/>
  <c r="G279" i="15"/>
  <c r="D280" i="15"/>
  <c r="E280" i="15"/>
  <c r="G280" i="15"/>
  <c r="D281" i="15"/>
  <c r="H281" i="15" s="1"/>
  <c r="E281" i="15"/>
  <c r="F281" i="15"/>
  <c r="G281" i="15"/>
  <c r="D282" i="15"/>
  <c r="H282" i="15" s="1"/>
  <c r="E282" i="15"/>
  <c r="F282" i="15"/>
  <c r="G282" i="15"/>
  <c r="E283" i="15"/>
  <c r="F283" i="15" s="1"/>
  <c r="G283" i="15"/>
  <c r="H283" i="15" s="1"/>
  <c r="D284" i="15"/>
  <c r="E284" i="15"/>
  <c r="G284" i="15"/>
  <c r="D285" i="15"/>
  <c r="E285" i="15"/>
  <c r="G285" i="15"/>
  <c r="D286" i="15"/>
  <c r="E286" i="15"/>
  <c r="G286" i="15"/>
  <c r="D287" i="15"/>
  <c r="E287" i="15"/>
  <c r="G287" i="15"/>
  <c r="D288" i="15"/>
  <c r="E288" i="15"/>
  <c r="G288" i="15"/>
  <c r="D289" i="15"/>
  <c r="E289" i="15"/>
  <c r="G289" i="15"/>
  <c r="D290" i="15"/>
  <c r="E290" i="15"/>
  <c r="G290" i="15"/>
  <c r="D291" i="15"/>
  <c r="E291" i="15"/>
  <c r="G291" i="15"/>
  <c r="D292" i="15"/>
  <c r="E292" i="15"/>
  <c r="G292" i="15"/>
  <c r="E293" i="15"/>
  <c r="F293" i="15"/>
  <c r="G293" i="15"/>
  <c r="H293" i="15"/>
  <c r="D294" i="15"/>
  <c r="E294" i="15"/>
  <c r="F294" i="15" s="1"/>
  <c r="G294" i="15"/>
  <c r="H294" i="15"/>
  <c r="D304" i="15"/>
  <c r="F304" i="15" s="1"/>
  <c r="E304" i="15"/>
  <c r="G304" i="15"/>
  <c r="D305" i="15"/>
  <c r="E305" i="15"/>
  <c r="F305" i="15"/>
  <c r="G305" i="15"/>
  <c r="H305" i="15"/>
  <c r="D306" i="15"/>
  <c r="H306" i="15" s="1"/>
  <c r="E306" i="15"/>
  <c r="G306" i="15"/>
  <c r="D307" i="15"/>
  <c r="F307" i="15" s="1"/>
  <c r="E307" i="15"/>
  <c r="G307" i="15"/>
  <c r="D308" i="15"/>
  <c r="E308" i="15"/>
  <c r="F308" i="15"/>
  <c r="G308" i="15"/>
  <c r="H308" i="15"/>
  <c r="D309" i="15"/>
  <c r="E309" i="15"/>
  <c r="F309" i="15"/>
  <c r="G309" i="15"/>
  <c r="D310" i="15"/>
  <c r="H310" i="15" s="1"/>
  <c r="E310" i="15"/>
  <c r="F310" i="15"/>
  <c r="G310" i="15"/>
  <c r="D311" i="15"/>
  <c r="E311" i="15"/>
  <c r="F311" i="15"/>
  <c r="G311" i="15"/>
  <c r="D312" i="15"/>
  <c r="H312" i="15" s="1"/>
  <c r="E312" i="15"/>
  <c r="F312" i="15"/>
  <c r="G312" i="15"/>
  <c r="D313" i="15"/>
  <c r="E313" i="15"/>
  <c r="F313" i="15"/>
  <c r="G313" i="15"/>
  <c r="D314" i="15"/>
  <c r="H314" i="15" s="1"/>
  <c r="E314" i="15"/>
  <c r="F314" i="15"/>
  <c r="G314" i="15"/>
  <c r="D315" i="15"/>
  <c r="E315" i="15"/>
  <c r="F315" i="15"/>
  <c r="G315" i="15"/>
  <c r="D316" i="15"/>
  <c r="H316" i="15" s="1"/>
  <c r="E316" i="15"/>
  <c r="F316" i="15"/>
  <c r="G316" i="15"/>
  <c r="D317" i="15"/>
  <c r="E317" i="15"/>
  <c r="F317" i="15"/>
  <c r="G317" i="15"/>
  <c r="D318" i="15"/>
  <c r="H318" i="15" s="1"/>
  <c r="E318" i="15"/>
  <c r="F318" i="15"/>
  <c r="G318" i="15"/>
  <c r="D319" i="15"/>
  <c r="E319" i="15"/>
  <c r="F319" i="15"/>
  <c r="G319" i="15"/>
  <c r="D320" i="15"/>
  <c r="H320" i="15" s="1"/>
  <c r="E320" i="15"/>
  <c r="F320" i="15"/>
  <c r="G320" i="15"/>
  <c r="E321" i="15"/>
  <c r="F321" i="15" s="1"/>
  <c r="G321" i="15"/>
  <c r="H321" i="15"/>
  <c r="E322" i="15"/>
  <c r="F322" i="15"/>
  <c r="G322" i="15"/>
  <c r="H322" i="15"/>
  <c r="D323" i="15"/>
  <c r="H323" i="15" s="1"/>
  <c r="E323" i="15"/>
  <c r="F323" i="15"/>
  <c r="G323" i="15"/>
  <c r="E324" i="15"/>
  <c r="F324" i="15" s="1"/>
  <c r="G324" i="15"/>
  <c r="H324" i="15" s="1"/>
  <c r="D325" i="15"/>
  <c r="E325" i="15"/>
  <c r="F325" i="15"/>
  <c r="G325" i="15"/>
  <c r="H325" i="15"/>
  <c r="D326" i="15"/>
  <c r="E326" i="15"/>
  <c r="F326" i="15"/>
  <c r="G326" i="15"/>
  <c r="H326" i="15"/>
  <c r="D327" i="15"/>
  <c r="E327" i="15"/>
  <c r="F327" i="15"/>
  <c r="G327" i="15"/>
  <c r="H327" i="15"/>
  <c r="D328" i="15"/>
  <c r="E328" i="15"/>
  <c r="F328" i="15"/>
  <c r="J328" i="15"/>
  <c r="G328" i="15" s="1"/>
  <c r="H328" i="15" s="1"/>
  <c r="D329" i="15"/>
  <c r="E329" i="15"/>
  <c r="G329" i="15"/>
  <c r="J329" i="15"/>
  <c r="D330" i="15"/>
  <c r="H330" i="15" s="1"/>
  <c r="E330" i="15"/>
  <c r="F330" i="15"/>
  <c r="G330" i="15"/>
  <c r="D331" i="15"/>
  <c r="H331" i="15" s="1"/>
  <c r="E331" i="15"/>
  <c r="G331" i="15"/>
  <c r="D332" i="15"/>
  <c r="H332" i="15" s="1"/>
  <c r="E332" i="15"/>
  <c r="G332" i="15"/>
  <c r="D333" i="15"/>
  <c r="H333" i="15" s="1"/>
  <c r="E333" i="15"/>
  <c r="F333" i="15"/>
  <c r="G333" i="15"/>
  <c r="D334" i="15"/>
  <c r="H334" i="15" s="1"/>
  <c r="E334" i="15"/>
  <c r="G334" i="15"/>
  <c r="D335" i="15"/>
  <c r="H335" i="15" s="1"/>
  <c r="E335" i="15"/>
  <c r="G335" i="15"/>
  <c r="D336" i="15"/>
  <c r="H336" i="15" s="1"/>
  <c r="E336" i="15"/>
  <c r="F336" i="15"/>
  <c r="G336" i="15"/>
  <c r="D337" i="15"/>
  <c r="H337" i="15" s="1"/>
  <c r="E337" i="15"/>
  <c r="G337" i="15"/>
  <c r="D338" i="15"/>
  <c r="H338" i="15" s="1"/>
  <c r="E338" i="15"/>
  <c r="G338" i="15"/>
  <c r="D339" i="15"/>
  <c r="H339" i="15" s="1"/>
  <c r="E339" i="15"/>
  <c r="F339" i="15"/>
  <c r="G339" i="15"/>
  <c r="D340" i="15"/>
  <c r="H340" i="15" s="1"/>
  <c r="F340" i="15"/>
  <c r="G340" i="15"/>
  <c r="I340" i="15"/>
  <c r="E340" i="15" s="1"/>
  <c r="D341" i="15"/>
  <c r="E341" i="15"/>
  <c r="F341" i="15" s="1"/>
  <c r="G341" i="15"/>
  <c r="H341" i="15"/>
  <c r="D342" i="15"/>
  <c r="E342" i="15"/>
  <c r="F342" i="15" s="1"/>
  <c r="G342" i="15"/>
  <c r="H342" i="15"/>
  <c r="E343" i="15"/>
  <c r="F343" i="15"/>
  <c r="G343" i="15"/>
  <c r="H343" i="15" s="1"/>
  <c r="D344" i="15"/>
  <c r="H344" i="15" s="1"/>
  <c r="E344" i="15"/>
  <c r="F344" i="15"/>
  <c r="G344" i="15"/>
  <c r="D345" i="15"/>
  <c r="H345" i="15" s="1"/>
  <c r="G345" i="15"/>
  <c r="I345" i="15"/>
  <c r="E345" i="15" s="1"/>
  <c r="F345" i="15" s="1"/>
  <c r="D346" i="15"/>
  <c r="G346" i="15"/>
  <c r="H346" i="15"/>
  <c r="I346" i="15"/>
  <c r="E346" i="15" s="1"/>
  <c r="F346" i="15" s="1"/>
  <c r="E347" i="15"/>
  <c r="F347" i="15" s="1"/>
  <c r="G347" i="15"/>
  <c r="H347" i="15"/>
  <c r="D348" i="15"/>
  <c r="E348" i="15"/>
  <c r="F348" i="15" s="1"/>
  <c r="G348" i="15"/>
  <c r="H348" i="15"/>
  <c r="D349" i="15"/>
  <c r="E349" i="15"/>
  <c r="F349" i="15" s="1"/>
  <c r="G349" i="15"/>
  <c r="H349" i="15"/>
  <c r="D350" i="15"/>
  <c r="E350" i="15"/>
  <c r="F350" i="15" s="1"/>
  <c r="G350" i="15"/>
  <c r="H350" i="15"/>
  <c r="D351" i="15"/>
  <c r="E351" i="15"/>
  <c r="F351" i="15" s="1"/>
  <c r="G351" i="15"/>
  <c r="H351" i="15"/>
  <c r="D352" i="15"/>
  <c r="E352" i="15"/>
  <c r="F352" i="15" s="1"/>
  <c r="G352" i="15"/>
  <c r="H352" i="15"/>
  <c r="D353" i="15"/>
  <c r="E353" i="15"/>
  <c r="F353" i="15" s="1"/>
  <c r="G353" i="15"/>
  <c r="H353" i="15"/>
  <c r="D354" i="15"/>
  <c r="E354" i="15"/>
  <c r="F354" i="15" s="1"/>
  <c r="G354" i="15"/>
  <c r="H354" i="15"/>
  <c r="E355" i="15"/>
  <c r="F355" i="15"/>
  <c r="G355" i="15"/>
  <c r="H355" i="15" s="1"/>
  <c r="D356" i="15"/>
  <c r="H356" i="15" s="1"/>
  <c r="E356" i="15"/>
  <c r="F356" i="15"/>
  <c r="G356" i="15"/>
  <c r="D357" i="15"/>
  <c r="H357" i="15" s="1"/>
  <c r="E357" i="15"/>
  <c r="F357" i="15"/>
  <c r="G357" i="15"/>
  <c r="D358" i="15"/>
  <c r="F358" i="15" s="1"/>
  <c r="E358" i="15"/>
  <c r="J358" i="15"/>
  <c r="G358" i="15" s="1"/>
  <c r="D359" i="15"/>
  <c r="E359" i="15"/>
  <c r="F359" i="15" s="1"/>
  <c r="G359" i="15"/>
  <c r="H359" i="15"/>
  <c r="D369" i="15"/>
  <c r="F369" i="15" s="1"/>
  <c r="E369" i="15"/>
  <c r="G369" i="15"/>
  <c r="I369" i="15"/>
  <c r="D370" i="15"/>
  <c r="H370" i="15" s="1"/>
  <c r="E370" i="15"/>
  <c r="F370" i="15"/>
  <c r="G370" i="15"/>
  <c r="D371" i="15"/>
  <c r="H371" i="15" s="1"/>
  <c r="E371" i="15"/>
  <c r="G371" i="15"/>
  <c r="D372" i="15"/>
  <c r="H372" i="15" s="1"/>
  <c r="E372" i="15"/>
  <c r="F372" i="15"/>
  <c r="G372" i="15"/>
  <c r="D373" i="15"/>
  <c r="H373" i="15" s="1"/>
  <c r="E373" i="15"/>
  <c r="G373" i="15"/>
  <c r="D374" i="15"/>
  <c r="H374" i="15" s="1"/>
  <c r="E374" i="15"/>
  <c r="F374" i="15"/>
  <c r="G374" i="15"/>
  <c r="D375" i="15"/>
  <c r="H375" i="15" s="1"/>
  <c r="E375" i="15"/>
  <c r="F375" i="15"/>
  <c r="G375" i="15"/>
  <c r="D376" i="15"/>
  <c r="H376" i="15" s="1"/>
  <c r="E376" i="15"/>
  <c r="G376" i="15"/>
  <c r="D377" i="15"/>
  <c r="H377" i="15" s="1"/>
  <c r="E377" i="15"/>
  <c r="F377" i="15"/>
  <c r="G377" i="15"/>
  <c r="D378" i="15"/>
  <c r="H378" i="15" s="1"/>
  <c r="E378" i="15"/>
  <c r="F378" i="15"/>
  <c r="G378" i="15"/>
  <c r="D379" i="15"/>
  <c r="H379" i="15" s="1"/>
  <c r="E379" i="15"/>
  <c r="G379" i="15"/>
  <c r="D380" i="15"/>
  <c r="H380" i="15" s="1"/>
  <c r="E380" i="15"/>
  <c r="F380" i="15"/>
  <c r="G380" i="15"/>
  <c r="D381" i="15"/>
  <c r="H381" i="15" s="1"/>
  <c r="E381" i="15"/>
  <c r="F381" i="15"/>
  <c r="G381" i="15"/>
  <c r="D382" i="15"/>
  <c r="H382" i="15" s="1"/>
  <c r="E382" i="15"/>
  <c r="G382" i="15"/>
  <c r="D383" i="15"/>
  <c r="H383" i="15" s="1"/>
  <c r="E383" i="15"/>
  <c r="F383" i="15"/>
  <c r="G383" i="15"/>
  <c r="D384" i="15"/>
  <c r="H384" i="15" s="1"/>
  <c r="E384" i="15"/>
  <c r="F384" i="15"/>
  <c r="G384" i="15"/>
  <c r="D385" i="15"/>
  <c r="H385" i="15" s="1"/>
  <c r="E385" i="15"/>
  <c r="G385" i="15"/>
  <c r="D386" i="15"/>
  <c r="H386" i="15" s="1"/>
  <c r="E386" i="15"/>
  <c r="F386" i="15"/>
  <c r="G386" i="15"/>
  <c r="D387" i="15"/>
  <c r="E387" i="15"/>
  <c r="F387" i="15"/>
  <c r="G387" i="15"/>
  <c r="D388" i="15"/>
  <c r="H388" i="15" s="1"/>
  <c r="E388" i="15"/>
  <c r="G388" i="15"/>
  <c r="D389" i="15"/>
  <c r="E389" i="15"/>
  <c r="F389" i="15"/>
  <c r="G389" i="15"/>
  <c r="D390" i="15"/>
  <c r="H390" i="15" s="1"/>
  <c r="E390" i="15"/>
  <c r="F390" i="15"/>
  <c r="G390" i="15"/>
  <c r="D391" i="15"/>
  <c r="H391" i="15" s="1"/>
  <c r="G391" i="15"/>
  <c r="I391" i="15"/>
  <c r="E391" i="15" s="1"/>
  <c r="D392" i="15"/>
  <c r="E392" i="15"/>
  <c r="F392" i="15" s="1"/>
  <c r="G392" i="15"/>
  <c r="H392" i="15"/>
  <c r="I392" i="15"/>
  <c r="D393" i="15"/>
  <c r="H393" i="15" s="1"/>
  <c r="E393" i="15"/>
  <c r="G393" i="15"/>
  <c r="D403" i="15"/>
  <c r="E403" i="15"/>
  <c r="F403" i="15"/>
  <c r="G403" i="15"/>
  <c r="D404" i="15"/>
  <c r="H404" i="15" s="1"/>
  <c r="E404" i="15"/>
  <c r="G404" i="15"/>
  <c r="D405" i="15"/>
  <c r="E405" i="15"/>
  <c r="F405" i="15"/>
  <c r="G405" i="15"/>
  <c r="D406" i="15"/>
  <c r="H406" i="15" s="1"/>
  <c r="E406" i="15"/>
  <c r="F406" i="15"/>
  <c r="G406" i="15"/>
  <c r="D407" i="15"/>
  <c r="F407" i="15" s="1"/>
  <c r="E407" i="15"/>
  <c r="G407" i="15"/>
  <c r="D408" i="15"/>
  <c r="H408" i="15" s="1"/>
  <c r="E408" i="15"/>
  <c r="F408" i="15"/>
  <c r="G408" i="15"/>
  <c r="D409" i="15"/>
  <c r="G409" i="15"/>
  <c r="I409" i="15"/>
  <c r="E409" i="15" s="1"/>
  <c r="F409" i="15" s="1"/>
  <c r="D410" i="15"/>
  <c r="E410" i="15"/>
  <c r="F410" i="15"/>
  <c r="G410" i="15"/>
  <c r="H410" i="15"/>
  <c r="D411" i="15"/>
  <c r="E411" i="15"/>
  <c r="F411" i="15"/>
  <c r="G411" i="15"/>
  <c r="H411" i="15"/>
  <c r="D412" i="15"/>
  <c r="E412" i="15"/>
  <c r="F412" i="15"/>
  <c r="G412" i="15"/>
  <c r="H412" i="15"/>
  <c r="D413" i="15"/>
  <c r="E413" i="15"/>
  <c r="F413" i="15"/>
  <c r="G413" i="15"/>
  <c r="H413" i="15"/>
  <c r="D414" i="15"/>
  <c r="E414" i="15"/>
  <c r="F414" i="15"/>
  <c r="G414" i="15"/>
  <c r="H414" i="15"/>
  <c r="I414" i="15"/>
  <c r="D415" i="15"/>
  <c r="F415" i="15" s="1"/>
  <c r="E415" i="15"/>
  <c r="G415" i="15"/>
  <c r="D416" i="15"/>
  <c r="F416" i="15" s="1"/>
  <c r="E416" i="15"/>
  <c r="G416" i="15"/>
  <c r="D426" i="15"/>
  <c r="F426" i="15" s="1"/>
  <c r="F436" i="15" s="1"/>
  <c r="E426" i="15"/>
  <c r="G426" i="15"/>
  <c r="J426" i="15"/>
  <c r="D427" i="15"/>
  <c r="E427" i="15"/>
  <c r="F427" i="15" s="1"/>
  <c r="G427" i="15"/>
  <c r="H427" i="15"/>
  <c r="D428" i="15"/>
  <c r="E428" i="15"/>
  <c r="F428" i="15" s="1"/>
  <c r="G428" i="15"/>
  <c r="H428" i="15"/>
  <c r="D429" i="15"/>
  <c r="E429" i="15"/>
  <c r="F429" i="15" s="1"/>
  <c r="G429" i="15"/>
  <c r="H429" i="15"/>
  <c r="D430" i="15"/>
  <c r="E430" i="15"/>
  <c r="F430" i="15" s="1"/>
  <c r="G430" i="15"/>
  <c r="H430" i="15"/>
  <c r="D431" i="15"/>
  <c r="E431" i="15"/>
  <c r="F431" i="15" s="1"/>
  <c r="G431" i="15"/>
  <c r="H431" i="15"/>
  <c r="D432" i="15"/>
  <c r="E432" i="15"/>
  <c r="F432" i="15" s="1"/>
  <c r="G432" i="15"/>
  <c r="H432" i="15"/>
  <c r="D433" i="15"/>
  <c r="E433" i="15"/>
  <c r="F433" i="15" s="1"/>
  <c r="G433" i="15"/>
  <c r="H433" i="15"/>
  <c r="E434" i="15"/>
  <c r="F434" i="15"/>
  <c r="G434" i="15"/>
  <c r="H434" i="15" s="1"/>
  <c r="D435" i="15"/>
  <c r="E435" i="15"/>
  <c r="F435" i="15"/>
  <c r="G435" i="15"/>
  <c r="E445" i="15"/>
  <c r="F445" i="15"/>
  <c r="G445" i="15"/>
  <c r="H445" i="15"/>
  <c r="E446" i="15"/>
  <c r="F446" i="15" s="1"/>
  <c r="G446" i="15"/>
  <c r="H446" i="15"/>
  <c r="I446" i="15"/>
  <c r="E447" i="15"/>
  <c r="F447" i="15" s="1"/>
  <c r="G447" i="15"/>
  <c r="H447" i="15" s="1"/>
  <c r="E448" i="15"/>
  <c r="F448" i="15"/>
  <c r="G448" i="15"/>
  <c r="H448" i="15"/>
  <c r="I448" i="15"/>
  <c r="E449" i="15"/>
  <c r="F449" i="15"/>
  <c r="G449" i="15"/>
  <c r="H449" i="15"/>
  <c r="I449" i="15"/>
  <c r="E450" i="15"/>
  <c r="F450" i="15"/>
  <c r="G450" i="15"/>
  <c r="H450" i="15"/>
  <c r="E451" i="15"/>
  <c r="F451" i="15"/>
  <c r="G451" i="15"/>
  <c r="H451" i="15" s="1"/>
  <c r="E452" i="15"/>
  <c r="F452" i="15" s="1"/>
  <c r="G452" i="15"/>
  <c r="H452" i="15"/>
  <c r="E453" i="15"/>
  <c r="F453" i="15" s="1"/>
  <c r="G453" i="15"/>
  <c r="H453" i="15" s="1"/>
  <c r="I453" i="15"/>
  <c r="E454" i="15"/>
  <c r="F454" i="15" s="1"/>
  <c r="G454" i="15"/>
  <c r="H454" i="15" s="1"/>
  <c r="J454" i="15"/>
  <c r="E464" i="15"/>
  <c r="F464" i="15"/>
  <c r="F469" i="15" s="1"/>
  <c r="J464" i="15"/>
  <c r="G464" i="15" s="1"/>
  <c r="H464" i="15" s="1"/>
  <c r="E465" i="15"/>
  <c r="F465" i="15"/>
  <c r="J465" i="15"/>
  <c r="G465" i="15" s="1"/>
  <c r="H465" i="15" s="1"/>
  <c r="E466" i="15"/>
  <c r="F466" i="15"/>
  <c r="J466" i="15"/>
  <c r="G466" i="15" s="1"/>
  <c r="H466" i="15" s="1"/>
  <c r="E467" i="15"/>
  <c r="F467" i="15"/>
  <c r="J467" i="15"/>
  <c r="G467" i="15" s="1"/>
  <c r="H467" i="15" s="1"/>
  <c r="E468" i="15"/>
  <c r="F468" i="15"/>
  <c r="J468" i="15"/>
  <c r="G468" i="15" s="1"/>
  <c r="H468" i="15" s="1"/>
  <c r="B511" i="15"/>
  <c r="B512" i="15"/>
  <c r="B513" i="15"/>
  <c r="B514" i="15"/>
  <c r="B515" i="15"/>
  <c r="B516" i="15"/>
  <c r="B517" i="15"/>
  <c r="B518" i="15"/>
  <c r="B519" i="15"/>
  <c r="B520" i="15"/>
  <c r="B521" i="15"/>
  <c r="B522" i="15"/>
  <c r="B523" i="15"/>
  <c r="B524" i="15"/>
  <c r="B525" i="15"/>
  <c r="B526" i="15"/>
  <c r="E535" i="15"/>
  <c r="E3" i="14"/>
  <c r="F3" i="14" s="1"/>
  <c r="G3" i="14"/>
  <c r="H3" i="14"/>
  <c r="A4" i="14"/>
  <c r="E4" i="14"/>
  <c r="F4" i="14"/>
  <c r="G4" i="14"/>
  <c r="H4" i="14"/>
  <c r="A5" i="14"/>
  <c r="A6" i="14" s="1"/>
  <c r="A7" i="14" s="1"/>
  <c r="A8" i="14" s="1"/>
  <c r="A9" i="14" s="1"/>
  <c r="A10" i="14" s="1"/>
  <c r="A11" i="14" s="1"/>
  <c r="A12" i="14" s="1"/>
  <c r="A13" i="14" s="1"/>
  <c r="A14" i="14" s="1"/>
  <c r="A15" i="14" s="1"/>
  <c r="A16" i="14" s="1"/>
  <c r="A17" i="14" s="1"/>
  <c r="A18" i="14" s="1"/>
  <c r="A19" i="14" s="1"/>
  <c r="A20" i="14" s="1"/>
  <c r="A21" i="14" s="1"/>
  <c r="A22" i="14" s="1"/>
  <c r="A23" i="14" s="1"/>
  <c r="A24" i="14" s="1"/>
  <c r="A25" i="14" s="1"/>
  <c r="A26" i="14" s="1"/>
  <c r="A27" i="14" s="1"/>
  <c r="A28" i="14" s="1"/>
  <c r="A29" i="14" s="1"/>
  <c r="A30" i="14" s="1"/>
  <c r="A31" i="14" s="1"/>
  <c r="A32" i="14" s="1"/>
  <c r="A33" i="14" s="1"/>
  <c r="A34" i="14" s="1"/>
  <c r="A35" i="14" s="1"/>
  <c r="A36" i="14" s="1"/>
  <c r="A37" i="14" s="1"/>
  <c r="A38" i="14" s="1"/>
  <c r="A39" i="14" s="1"/>
  <c r="A40" i="14" s="1"/>
  <c r="A41" i="14" s="1"/>
  <c r="A42" i="14" s="1"/>
  <c r="A43" i="14" s="1"/>
  <c r="A44" i="14" s="1"/>
  <c r="A45" i="14" s="1"/>
  <c r="A46" i="14" s="1"/>
  <c r="A47" i="14" s="1"/>
  <c r="A48" i="14" s="1"/>
  <c r="A49" i="14" s="1"/>
  <c r="A50" i="14" s="1"/>
  <c r="A51" i="14" s="1"/>
  <c r="A52" i="14" s="1"/>
  <c r="A53" i="14" s="1"/>
  <c r="A54" i="14" s="1"/>
  <c r="A55" i="14" s="1"/>
  <c r="A56" i="14" s="1"/>
  <c r="A57" i="14" s="1"/>
  <c r="A58" i="14" s="1"/>
  <c r="A59" i="14" s="1"/>
  <c r="A60" i="14" s="1"/>
  <c r="E5" i="14"/>
  <c r="F5" i="14" s="1"/>
  <c r="G5" i="14"/>
  <c r="H5" i="14" s="1"/>
  <c r="E6" i="14"/>
  <c r="F6" i="14"/>
  <c r="G6" i="14"/>
  <c r="H6" i="14"/>
  <c r="E7" i="14"/>
  <c r="F7" i="14"/>
  <c r="G7" i="14"/>
  <c r="H7" i="14" s="1"/>
  <c r="E8" i="14"/>
  <c r="F8" i="14"/>
  <c r="G8" i="14"/>
  <c r="H8" i="14" s="1"/>
  <c r="E9" i="14"/>
  <c r="F9" i="14" s="1"/>
  <c r="G9" i="14"/>
  <c r="H9" i="14"/>
  <c r="E10" i="14"/>
  <c r="F10" i="14"/>
  <c r="G10" i="14"/>
  <c r="H10" i="14"/>
  <c r="E11" i="14"/>
  <c r="F11" i="14" s="1"/>
  <c r="G11" i="14"/>
  <c r="H11" i="14" s="1"/>
  <c r="E12" i="14"/>
  <c r="F12" i="14"/>
  <c r="G12" i="14"/>
  <c r="H12" i="14"/>
  <c r="E13" i="14"/>
  <c r="F13" i="14"/>
  <c r="G13" i="14"/>
  <c r="H13" i="14" s="1"/>
  <c r="E14" i="14"/>
  <c r="F14" i="14"/>
  <c r="G14" i="14"/>
  <c r="H14" i="14"/>
  <c r="E15" i="14"/>
  <c r="F15" i="14" s="1"/>
  <c r="G15" i="14"/>
  <c r="H15" i="14"/>
  <c r="E16" i="14"/>
  <c r="F16" i="14"/>
  <c r="G16" i="14"/>
  <c r="H16" i="14"/>
  <c r="E17" i="14"/>
  <c r="F17" i="14" s="1"/>
  <c r="G17" i="14"/>
  <c r="H17" i="14" s="1"/>
  <c r="E18" i="14"/>
  <c r="F18" i="14"/>
  <c r="G18" i="14"/>
  <c r="H18" i="14"/>
  <c r="E19" i="14"/>
  <c r="F19" i="14"/>
  <c r="G19" i="14"/>
  <c r="H19" i="14" s="1"/>
  <c r="E20" i="14"/>
  <c r="F20" i="14"/>
  <c r="G20" i="14"/>
  <c r="H20" i="14" s="1"/>
  <c r="E21" i="14"/>
  <c r="F21" i="14" s="1"/>
  <c r="G21" i="14"/>
  <c r="H21" i="14"/>
  <c r="G22" i="14"/>
  <c r="H22" i="14"/>
  <c r="I22" i="14"/>
  <c r="E22" i="14" s="1"/>
  <c r="F22" i="14" s="1"/>
  <c r="G23" i="14"/>
  <c r="H23" i="14"/>
  <c r="I23" i="14"/>
  <c r="E23" i="14" s="1"/>
  <c r="F23" i="14" s="1"/>
  <c r="E24" i="14"/>
  <c r="F24" i="14"/>
  <c r="G24" i="14"/>
  <c r="H24" i="14"/>
  <c r="E25" i="14"/>
  <c r="F25" i="14" s="1"/>
  <c r="G25" i="14"/>
  <c r="H25" i="14" s="1"/>
  <c r="E26" i="14"/>
  <c r="F26" i="14"/>
  <c r="G26" i="14"/>
  <c r="H26" i="14"/>
  <c r="E27" i="14"/>
  <c r="F27" i="14"/>
  <c r="G27" i="14"/>
  <c r="H27" i="14" s="1"/>
  <c r="E28" i="14"/>
  <c r="F28" i="14"/>
  <c r="G28" i="14"/>
  <c r="H28" i="14" s="1"/>
  <c r="E29" i="14"/>
  <c r="F29" i="14" s="1"/>
  <c r="G29" i="14"/>
  <c r="H29" i="14"/>
  <c r="E30" i="14"/>
  <c r="F30" i="14"/>
  <c r="G30" i="14"/>
  <c r="H30" i="14"/>
  <c r="E31" i="14"/>
  <c r="F31" i="14" s="1"/>
  <c r="G31" i="14"/>
  <c r="H31" i="14"/>
  <c r="E32" i="14"/>
  <c r="F32" i="14"/>
  <c r="G32" i="14"/>
  <c r="H32" i="14"/>
  <c r="E33" i="14"/>
  <c r="F33" i="14"/>
  <c r="G33" i="14"/>
  <c r="H33" i="14" s="1"/>
  <c r="E34" i="14"/>
  <c r="F34" i="14"/>
  <c r="G34" i="14"/>
  <c r="H34" i="14"/>
  <c r="G35" i="14"/>
  <c r="H35" i="14"/>
  <c r="I35" i="14"/>
  <c r="E35" i="14" s="1"/>
  <c r="F35" i="14" s="1"/>
  <c r="E36" i="14"/>
  <c r="F36" i="14"/>
  <c r="G36" i="14"/>
  <c r="H36" i="14"/>
  <c r="E37" i="14"/>
  <c r="F37" i="14"/>
  <c r="G37" i="14"/>
  <c r="H37" i="14"/>
  <c r="E38" i="14"/>
  <c r="F38" i="14" s="1"/>
  <c r="G38" i="14"/>
  <c r="H38" i="14"/>
  <c r="E39" i="14"/>
  <c r="F39" i="14"/>
  <c r="G39" i="14"/>
  <c r="H39" i="14"/>
  <c r="I39" i="14"/>
  <c r="E40" i="14"/>
  <c r="F40" i="14" s="1"/>
  <c r="G40" i="14"/>
  <c r="H40" i="14"/>
  <c r="I40" i="14"/>
  <c r="E41" i="14"/>
  <c r="F41" i="14" s="1"/>
  <c r="G41" i="14"/>
  <c r="H41" i="14"/>
  <c r="I41" i="14"/>
  <c r="E42" i="14"/>
  <c r="F42" i="14"/>
  <c r="G42" i="14"/>
  <c r="H42" i="14"/>
  <c r="I42" i="14"/>
  <c r="E43" i="14"/>
  <c r="F43" i="14"/>
  <c r="G43" i="14"/>
  <c r="H43" i="14"/>
  <c r="I43" i="14"/>
  <c r="E44" i="14"/>
  <c r="F44" i="14" s="1"/>
  <c r="G44" i="14"/>
  <c r="H44" i="14"/>
  <c r="I44" i="14"/>
  <c r="E45" i="14"/>
  <c r="F45" i="14"/>
  <c r="G45" i="14"/>
  <c r="H45" i="14"/>
  <c r="E46" i="14"/>
  <c r="F46" i="14"/>
  <c r="G46" i="14"/>
  <c r="H46" i="14" s="1"/>
  <c r="E47" i="14"/>
  <c r="F47" i="14"/>
  <c r="G47" i="14"/>
  <c r="H47" i="14"/>
  <c r="E48" i="14"/>
  <c r="F48" i="14"/>
  <c r="G48" i="14"/>
  <c r="H48" i="14"/>
  <c r="E49" i="14"/>
  <c r="F49" i="14"/>
  <c r="G49" i="14"/>
  <c r="H49" i="14"/>
  <c r="E50" i="14"/>
  <c r="F50" i="14" s="1"/>
  <c r="G50" i="14"/>
  <c r="H50" i="14"/>
  <c r="E51" i="14"/>
  <c r="F51" i="14"/>
  <c r="G51" i="14"/>
  <c r="H51" i="14"/>
  <c r="I51" i="14"/>
  <c r="E52" i="14"/>
  <c r="F52" i="14" s="1"/>
  <c r="G52" i="14"/>
  <c r="H52" i="14"/>
  <c r="E53" i="14"/>
  <c r="F53" i="14"/>
  <c r="G53" i="14"/>
  <c r="H53" i="14" s="1"/>
  <c r="E54" i="14"/>
  <c r="F54" i="14"/>
  <c r="G54" i="14"/>
  <c r="H54" i="14"/>
  <c r="E55" i="14"/>
  <c r="F55" i="14" s="1"/>
  <c r="G55" i="14"/>
  <c r="H55" i="14"/>
  <c r="E56" i="14"/>
  <c r="F56" i="14"/>
  <c r="G56" i="14"/>
  <c r="H56" i="14"/>
  <c r="E57" i="14"/>
  <c r="F57" i="14" s="1"/>
  <c r="G57" i="14"/>
  <c r="H57" i="14"/>
  <c r="E58" i="14"/>
  <c r="F58" i="14" s="1"/>
  <c r="G58" i="14"/>
  <c r="H58" i="14"/>
  <c r="E59" i="14"/>
  <c r="F59" i="14"/>
  <c r="G59" i="14"/>
  <c r="H59" i="14" s="1"/>
  <c r="E60" i="14"/>
  <c r="F60" i="14"/>
  <c r="G60" i="14"/>
  <c r="H60" i="14" s="1"/>
  <c r="E61" i="14"/>
  <c r="F61" i="14"/>
  <c r="G61" i="14"/>
  <c r="H61" i="14"/>
  <c r="E62" i="14"/>
  <c r="F62" i="14"/>
  <c r="G62" i="14"/>
  <c r="H62" i="14"/>
  <c r="E63" i="14"/>
  <c r="F63" i="14" s="1"/>
  <c r="G63" i="14"/>
  <c r="H63" i="14"/>
  <c r="E64" i="14"/>
  <c r="F64" i="14" s="1"/>
  <c r="G64" i="14"/>
  <c r="H64" i="14"/>
  <c r="E65" i="14"/>
  <c r="F65" i="14"/>
  <c r="G65" i="14"/>
  <c r="H65" i="14" s="1"/>
  <c r="E66" i="14"/>
  <c r="F66" i="14"/>
  <c r="G66" i="14"/>
  <c r="H66" i="14" s="1"/>
  <c r="E67" i="14"/>
  <c r="F67" i="14"/>
  <c r="G67" i="14"/>
  <c r="H67" i="14"/>
  <c r="E68" i="14"/>
  <c r="F68" i="14"/>
  <c r="G68" i="14"/>
  <c r="H68" i="14"/>
  <c r="E69" i="14"/>
  <c r="F69" i="14" s="1"/>
  <c r="G69" i="14"/>
  <c r="H69" i="14"/>
  <c r="E70" i="14"/>
  <c r="F70" i="14" s="1"/>
  <c r="G70" i="14"/>
  <c r="H70" i="14"/>
  <c r="E71" i="14"/>
  <c r="F71" i="14"/>
  <c r="G71" i="14"/>
  <c r="H71" i="14" s="1"/>
  <c r="E72" i="14"/>
  <c r="F72" i="14"/>
  <c r="G72" i="14"/>
  <c r="H72" i="14" s="1"/>
  <c r="E73" i="14"/>
  <c r="F73" i="14" s="1"/>
  <c r="G73" i="14"/>
  <c r="H73" i="14"/>
  <c r="E83" i="14"/>
  <c r="F83" i="14"/>
  <c r="G83" i="14"/>
  <c r="H83" i="14"/>
  <c r="E84" i="14"/>
  <c r="F84" i="14"/>
  <c r="G84" i="14"/>
  <c r="H84" i="14" s="1"/>
  <c r="E85" i="14"/>
  <c r="F85" i="14"/>
  <c r="G85" i="14"/>
  <c r="H85" i="14"/>
  <c r="E86" i="14"/>
  <c r="F86" i="14" s="1"/>
  <c r="G86" i="14"/>
  <c r="H86" i="14"/>
  <c r="E87" i="14"/>
  <c r="F87" i="14"/>
  <c r="G87" i="14"/>
  <c r="H87" i="14"/>
  <c r="E88" i="14"/>
  <c r="F88" i="14" s="1"/>
  <c r="G88" i="14"/>
  <c r="H88" i="14" s="1"/>
  <c r="E89" i="14"/>
  <c r="F89" i="14" s="1"/>
  <c r="G89" i="14"/>
  <c r="H89" i="14"/>
  <c r="E90" i="14"/>
  <c r="F90" i="14"/>
  <c r="G90" i="14"/>
  <c r="H90" i="14" s="1"/>
  <c r="E91" i="14"/>
  <c r="F91" i="14"/>
  <c r="G91" i="14"/>
  <c r="H91" i="14" s="1"/>
  <c r="E92" i="14"/>
  <c r="F92" i="14" s="1"/>
  <c r="G92" i="14"/>
  <c r="H92" i="14"/>
  <c r="E93" i="14"/>
  <c r="F93" i="14"/>
  <c r="G93" i="14"/>
  <c r="H93" i="14"/>
  <c r="E94" i="14"/>
  <c r="F94" i="14" s="1"/>
  <c r="G94" i="14"/>
  <c r="H94" i="14"/>
  <c r="E95" i="14"/>
  <c r="F95" i="14"/>
  <c r="G95" i="14"/>
  <c r="H95" i="14"/>
  <c r="E96" i="14"/>
  <c r="F96" i="14"/>
  <c r="G96" i="14"/>
  <c r="H96" i="14" s="1"/>
  <c r="E97" i="14"/>
  <c r="F97" i="14"/>
  <c r="G97" i="14"/>
  <c r="H97" i="14"/>
  <c r="E98" i="14"/>
  <c r="F98" i="14"/>
  <c r="G98" i="14"/>
  <c r="H98" i="14"/>
  <c r="E108" i="14"/>
  <c r="F108" i="14"/>
  <c r="G108" i="14"/>
  <c r="H108" i="14"/>
  <c r="I108" i="14"/>
  <c r="E109" i="14"/>
  <c r="F109" i="14" s="1"/>
  <c r="G109" i="14"/>
  <c r="H109" i="14"/>
  <c r="E110" i="14"/>
  <c r="F110" i="14"/>
  <c r="G110" i="14"/>
  <c r="H110" i="14" s="1"/>
  <c r="E111" i="14"/>
  <c r="F111" i="14"/>
  <c r="G111" i="14"/>
  <c r="H111" i="14"/>
  <c r="E112" i="14"/>
  <c r="F112" i="14"/>
  <c r="G112" i="14"/>
  <c r="H112" i="14"/>
  <c r="E113" i="14"/>
  <c r="F113" i="14"/>
  <c r="G113" i="14"/>
  <c r="H113" i="14"/>
  <c r="E114" i="14"/>
  <c r="F114" i="14" s="1"/>
  <c r="G114" i="14"/>
  <c r="H114" i="14" s="1"/>
  <c r="E115" i="14"/>
  <c r="F115" i="14" s="1"/>
  <c r="G115" i="14"/>
  <c r="H115" i="14"/>
  <c r="E116" i="14"/>
  <c r="F116" i="14"/>
  <c r="G116" i="14"/>
  <c r="H116" i="14" s="1"/>
  <c r="E117" i="14"/>
  <c r="F117" i="14"/>
  <c r="G117" i="14"/>
  <c r="H117" i="14" s="1"/>
  <c r="E118" i="14"/>
  <c r="F118" i="14" s="1"/>
  <c r="G118" i="14"/>
  <c r="H118" i="14"/>
  <c r="E119" i="14"/>
  <c r="F119" i="14"/>
  <c r="G119" i="14"/>
  <c r="H119" i="14"/>
  <c r="E120" i="14"/>
  <c r="F120" i="14" s="1"/>
  <c r="G120" i="14"/>
  <c r="H120" i="14" s="1"/>
  <c r="E121" i="14"/>
  <c r="F121" i="14"/>
  <c r="G121" i="14"/>
  <c r="H121" i="14"/>
  <c r="E122" i="14"/>
  <c r="F122" i="14"/>
  <c r="G122" i="14"/>
  <c r="H122" i="14" s="1"/>
  <c r="E123" i="14"/>
  <c r="F123" i="14"/>
  <c r="G123" i="14"/>
  <c r="H123" i="14" s="1"/>
  <c r="I123" i="14"/>
  <c r="E124" i="14"/>
  <c r="F124" i="14"/>
  <c r="G124" i="14"/>
  <c r="H124" i="14" s="1"/>
  <c r="E125" i="14"/>
  <c r="F125" i="14"/>
  <c r="G125" i="14"/>
  <c r="H125" i="14"/>
  <c r="E126" i="14"/>
  <c r="F126" i="14"/>
  <c r="G126" i="14"/>
  <c r="H126" i="14"/>
  <c r="E127" i="14"/>
  <c r="F127" i="14" s="1"/>
  <c r="G127" i="14"/>
  <c r="H127" i="14"/>
  <c r="E128" i="14"/>
  <c r="F128" i="14" s="1"/>
  <c r="G128" i="14"/>
  <c r="H128" i="14"/>
  <c r="E129" i="14"/>
  <c r="F129" i="14"/>
  <c r="G129" i="14"/>
  <c r="H129" i="14" s="1"/>
  <c r="E130" i="14"/>
  <c r="F130" i="14"/>
  <c r="G130" i="14"/>
  <c r="H130" i="14" s="1"/>
  <c r="E140" i="14"/>
  <c r="F140" i="14" s="1"/>
  <c r="G140" i="14"/>
  <c r="H140" i="14"/>
  <c r="I140" i="14"/>
  <c r="E141" i="14"/>
  <c r="F141" i="14" s="1"/>
  <c r="G141" i="14"/>
  <c r="H141" i="14"/>
  <c r="E142" i="14"/>
  <c r="F142" i="14" s="1"/>
  <c r="G142" i="14"/>
  <c r="H142" i="14"/>
  <c r="E143" i="14"/>
  <c r="F143" i="14"/>
  <c r="G143" i="14"/>
  <c r="H143" i="14" s="1"/>
  <c r="E144" i="14"/>
  <c r="F144" i="14"/>
  <c r="G144" i="14"/>
  <c r="H144" i="14"/>
  <c r="E145" i="14"/>
  <c r="F145" i="14" s="1"/>
  <c r="G145" i="14"/>
  <c r="H145" i="14"/>
  <c r="E146" i="14"/>
  <c r="F146" i="14"/>
  <c r="G146" i="14"/>
  <c r="H146" i="14"/>
  <c r="E147" i="14"/>
  <c r="F147" i="14" s="1"/>
  <c r="G147" i="14"/>
  <c r="H147" i="14" s="1"/>
  <c r="E148" i="14"/>
  <c r="F148" i="14"/>
  <c r="G148" i="14"/>
  <c r="H148" i="14"/>
  <c r="E149" i="14"/>
  <c r="F149" i="14"/>
  <c r="G149" i="14"/>
  <c r="H149" i="14" s="1"/>
  <c r="E150" i="14"/>
  <c r="F150" i="14"/>
  <c r="G150" i="14"/>
  <c r="H150" i="14"/>
  <c r="H154" i="14" s="1"/>
  <c r="E151" i="14"/>
  <c r="F151" i="14"/>
  <c r="G151" i="14"/>
  <c r="H151" i="14"/>
  <c r="E152" i="14"/>
  <c r="F152" i="14"/>
  <c r="G152" i="14"/>
  <c r="H152" i="14"/>
  <c r="E153" i="14"/>
  <c r="F153" i="14" s="1"/>
  <c r="G153" i="14"/>
  <c r="H153" i="14"/>
  <c r="E163" i="14"/>
  <c r="F163" i="14" s="1"/>
  <c r="G163" i="14"/>
  <c r="H163" i="14"/>
  <c r="I163" i="14"/>
  <c r="E164" i="14"/>
  <c r="F164" i="14" s="1"/>
  <c r="G164" i="14"/>
  <c r="H164" i="14"/>
  <c r="E165" i="14"/>
  <c r="F165" i="14"/>
  <c r="G165" i="14"/>
  <c r="H165" i="14"/>
  <c r="E166" i="14"/>
  <c r="F166" i="14"/>
  <c r="G166" i="14"/>
  <c r="H166" i="14" s="1"/>
  <c r="E167" i="14"/>
  <c r="F167" i="14" s="1"/>
  <c r="G167" i="14"/>
  <c r="H167" i="14"/>
  <c r="E168" i="14"/>
  <c r="F168" i="14"/>
  <c r="G168" i="14"/>
  <c r="H168" i="14"/>
  <c r="E169" i="14"/>
  <c r="F169" i="14"/>
  <c r="G169" i="14"/>
  <c r="H169" i="14" s="1"/>
  <c r="E170" i="14"/>
  <c r="F170" i="14" s="1"/>
  <c r="G170" i="14"/>
  <c r="H170" i="14" s="1"/>
  <c r="E171" i="14"/>
  <c r="F171" i="14"/>
  <c r="G171" i="14"/>
  <c r="H171" i="14"/>
  <c r="E172" i="14"/>
  <c r="F172" i="14"/>
  <c r="G172" i="14"/>
  <c r="H172" i="14"/>
  <c r="E173" i="14"/>
  <c r="F173" i="14" s="1"/>
  <c r="G173" i="14"/>
  <c r="H173" i="14" s="1"/>
  <c r="E174" i="14"/>
  <c r="F174" i="14"/>
  <c r="G174" i="14"/>
  <c r="H174" i="14"/>
  <c r="G184" i="14"/>
  <c r="H184" i="14"/>
  <c r="I184" i="14"/>
  <c r="E184" i="14" s="1"/>
  <c r="F184" i="14" s="1"/>
  <c r="E185" i="14"/>
  <c r="F185" i="14" s="1"/>
  <c r="G185" i="14"/>
  <c r="H185" i="14"/>
  <c r="E186" i="14"/>
  <c r="F186" i="14"/>
  <c r="G186" i="14"/>
  <c r="H186" i="14" s="1"/>
  <c r="E187" i="14"/>
  <c r="F187" i="14" s="1"/>
  <c r="G187" i="14"/>
  <c r="H187" i="14"/>
  <c r="E188" i="14"/>
  <c r="F188" i="14"/>
  <c r="G188" i="14"/>
  <c r="H188" i="14"/>
  <c r="E189" i="14"/>
  <c r="F189" i="14" s="1"/>
  <c r="G189" i="14"/>
  <c r="H189" i="14" s="1"/>
  <c r="E190" i="14"/>
  <c r="F190" i="14"/>
  <c r="G190" i="14"/>
  <c r="H190" i="14" s="1"/>
  <c r="E191" i="14"/>
  <c r="F191" i="14" s="1"/>
  <c r="G191" i="14"/>
  <c r="H191" i="14"/>
  <c r="E192" i="14"/>
  <c r="F192" i="14"/>
  <c r="G192" i="14"/>
  <c r="H192" i="14"/>
  <c r="E193" i="14"/>
  <c r="F193" i="14" s="1"/>
  <c r="G193" i="14"/>
  <c r="H193" i="14"/>
  <c r="E194" i="14"/>
  <c r="F194" i="14"/>
  <c r="G194" i="14"/>
  <c r="H194" i="14"/>
  <c r="E195" i="14"/>
  <c r="F195" i="14"/>
  <c r="G195" i="14"/>
  <c r="H195" i="14" s="1"/>
  <c r="E196" i="14"/>
  <c r="F196" i="14"/>
  <c r="G196" i="14"/>
  <c r="H196" i="14"/>
  <c r="E206" i="14"/>
  <c r="F206" i="14" s="1"/>
  <c r="F219" i="14" s="1"/>
  <c r="G206" i="14"/>
  <c r="H206" i="14"/>
  <c r="I206" i="14"/>
  <c r="E207" i="14"/>
  <c r="F207" i="14" s="1"/>
  <c r="G207" i="14"/>
  <c r="H207" i="14" s="1"/>
  <c r="E208" i="14"/>
  <c r="F208" i="14" s="1"/>
  <c r="G208" i="14"/>
  <c r="H208" i="14"/>
  <c r="E209" i="14"/>
  <c r="F209" i="14"/>
  <c r="G209" i="14"/>
  <c r="H209" i="14" s="1"/>
  <c r="E210" i="14"/>
  <c r="F210" i="14" s="1"/>
  <c r="G210" i="14"/>
  <c r="H210" i="14"/>
  <c r="E211" i="14"/>
  <c r="F211" i="14"/>
  <c r="G211" i="14"/>
  <c r="H211" i="14"/>
  <c r="E212" i="14"/>
  <c r="F212" i="14" s="1"/>
  <c r="G212" i="14"/>
  <c r="H212" i="14" s="1"/>
  <c r="E213" i="14"/>
  <c r="F213" i="14" s="1"/>
  <c r="G213" i="14"/>
  <c r="H213" i="14"/>
  <c r="E214" i="14"/>
  <c r="F214" i="14"/>
  <c r="G214" i="14"/>
  <c r="H214" i="14" s="1"/>
  <c r="E215" i="14"/>
  <c r="F215" i="14"/>
  <c r="G215" i="14"/>
  <c r="H215" i="14" s="1"/>
  <c r="E216" i="14"/>
  <c r="F216" i="14" s="1"/>
  <c r="G216" i="14"/>
  <c r="H216" i="14"/>
  <c r="E217" i="14"/>
  <c r="F217" i="14"/>
  <c r="G217" i="14"/>
  <c r="H217" i="14"/>
  <c r="E218" i="14"/>
  <c r="F218" i="14" s="1"/>
  <c r="G218" i="14"/>
  <c r="H218" i="14" s="1"/>
  <c r="G228" i="14"/>
  <c r="H228" i="14" s="1"/>
  <c r="I228" i="14"/>
  <c r="E228" i="14" s="1"/>
  <c r="F228" i="14" s="1"/>
  <c r="E229" i="14"/>
  <c r="F229" i="14"/>
  <c r="G229" i="14"/>
  <c r="H229" i="14" s="1"/>
  <c r="E230" i="14"/>
  <c r="F230" i="14" s="1"/>
  <c r="G230" i="14"/>
  <c r="H230" i="14"/>
  <c r="E231" i="14"/>
  <c r="F231" i="14"/>
  <c r="G231" i="14"/>
  <c r="H231" i="14"/>
  <c r="E232" i="14"/>
  <c r="F232" i="14" s="1"/>
  <c r="G232" i="14"/>
  <c r="H232" i="14" s="1"/>
  <c r="E233" i="14"/>
  <c r="F233" i="14" s="1"/>
  <c r="G233" i="14"/>
  <c r="H233" i="14"/>
  <c r="E234" i="14"/>
  <c r="F234" i="14"/>
  <c r="G234" i="14"/>
  <c r="H234" i="14" s="1"/>
  <c r="E235" i="14"/>
  <c r="F235" i="14"/>
  <c r="G235" i="14"/>
  <c r="H235" i="14" s="1"/>
  <c r="E236" i="14"/>
  <c r="F236" i="14" s="1"/>
  <c r="G236" i="14"/>
  <c r="H236" i="14"/>
  <c r="E237" i="14"/>
  <c r="F237" i="14"/>
  <c r="G237" i="14"/>
  <c r="H237" i="14"/>
  <c r="E238" i="14"/>
  <c r="F238" i="14" s="1"/>
  <c r="G238" i="14"/>
  <c r="H238" i="14" s="1"/>
  <c r="G248" i="14"/>
  <c r="H248" i="14" s="1"/>
  <c r="I248" i="14"/>
  <c r="E248" i="14" s="1"/>
  <c r="F248" i="14" s="1"/>
  <c r="G249" i="14"/>
  <c r="H249" i="14" s="1"/>
  <c r="I249" i="14"/>
  <c r="E249" i="14" s="1"/>
  <c r="F249" i="14" s="1"/>
  <c r="G250" i="14"/>
  <c r="H250" i="14" s="1"/>
  <c r="I250" i="14"/>
  <c r="E250" i="14" s="1"/>
  <c r="F250" i="14" s="1"/>
  <c r="G251" i="14"/>
  <c r="H251" i="14" s="1"/>
  <c r="I251" i="14"/>
  <c r="E251" i="14" s="1"/>
  <c r="F251" i="14" s="1"/>
  <c r="G252" i="14"/>
  <c r="H252" i="14" s="1"/>
  <c r="I252" i="14"/>
  <c r="E252" i="14" s="1"/>
  <c r="F252" i="14" s="1"/>
  <c r="G253" i="14"/>
  <c r="H253" i="14" s="1"/>
  <c r="I253" i="14"/>
  <c r="E253" i="14" s="1"/>
  <c r="F253" i="14" s="1"/>
  <c r="E254" i="14"/>
  <c r="F254" i="14"/>
  <c r="G254" i="14"/>
  <c r="H254" i="14" s="1"/>
  <c r="E255" i="14"/>
  <c r="F255" i="14" s="1"/>
  <c r="G255" i="14"/>
  <c r="H255" i="14"/>
  <c r="F256" i="14"/>
  <c r="G256" i="14"/>
  <c r="H256" i="14"/>
  <c r="I256" i="14"/>
  <c r="E256" i="14" s="1"/>
  <c r="E257" i="14"/>
  <c r="F257" i="14"/>
  <c r="G257" i="14"/>
  <c r="H257" i="14"/>
  <c r="E258" i="14"/>
  <c r="F258" i="14" s="1"/>
  <c r="G258" i="14"/>
  <c r="H258" i="14" s="1"/>
  <c r="E259" i="14"/>
  <c r="F259" i="14" s="1"/>
  <c r="G259" i="14"/>
  <c r="H259" i="14"/>
  <c r="E260" i="14"/>
  <c r="F260" i="14"/>
  <c r="G260" i="14"/>
  <c r="H260" i="14" s="1"/>
  <c r="E261" i="14"/>
  <c r="F261" i="14"/>
  <c r="G261" i="14"/>
  <c r="H261" i="14" s="1"/>
  <c r="E262" i="14"/>
  <c r="F262" i="14" s="1"/>
  <c r="G262" i="14"/>
  <c r="H262" i="14"/>
  <c r="E263" i="14"/>
  <c r="F263" i="14"/>
  <c r="G263" i="14"/>
  <c r="H263" i="14"/>
  <c r="E264" i="14"/>
  <c r="F264" i="14" s="1"/>
  <c r="G264" i="14"/>
  <c r="H264" i="14" s="1"/>
  <c r="I264" i="14"/>
  <c r="E265" i="14"/>
  <c r="F265" i="14" s="1"/>
  <c r="G265" i="14"/>
  <c r="H265" i="14" s="1"/>
  <c r="E266" i="14"/>
  <c r="F266" i="14" s="1"/>
  <c r="G266" i="14"/>
  <c r="H266" i="14"/>
  <c r="E267" i="14"/>
  <c r="F267" i="14"/>
  <c r="G267" i="14"/>
  <c r="H267" i="14" s="1"/>
  <c r="E277" i="14"/>
  <c r="F277" i="14"/>
  <c r="G277" i="14"/>
  <c r="H277" i="14"/>
  <c r="E278" i="14"/>
  <c r="F278" i="14" s="1"/>
  <c r="G278" i="14"/>
  <c r="H278" i="14" s="1"/>
  <c r="H298" i="14" s="1"/>
  <c r="E279" i="14"/>
  <c r="F279" i="14" s="1"/>
  <c r="G279" i="14"/>
  <c r="H279" i="14"/>
  <c r="E280" i="14"/>
  <c r="F280" i="14"/>
  <c r="G280" i="14"/>
  <c r="H280" i="14" s="1"/>
  <c r="E281" i="14"/>
  <c r="F281" i="14"/>
  <c r="G281" i="14"/>
  <c r="H281" i="14" s="1"/>
  <c r="E282" i="14"/>
  <c r="F282" i="14" s="1"/>
  <c r="G282" i="14"/>
  <c r="H282" i="14"/>
  <c r="E283" i="14"/>
  <c r="F283" i="14"/>
  <c r="G283" i="14"/>
  <c r="H283" i="14"/>
  <c r="E284" i="14"/>
  <c r="F284" i="14" s="1"/>
  <c r="G284" i="14"/>
  <c r="H284" i="14" s="1"/>
  <c r="E285" i="14"/>
  <c r="F285" i="14"/>
  <c r="G285" i="14"/>
  <c r="H285" i="14"/>
  <c r="E286" i="14"/>
  <c r="F286" i="14"/>
  <c r="G286" i="14"/>
  <c r="H286" i="14" s="1"/>
  <c r="E287" i="14"/>
  <c r="F287" i="14"/>
  <c r="G287" i="14"/>
  <c r="H287" i="14" s="1"/>
  <c r="E288" i="14"/>
  <c r="F288" i="14" s="1"/>
  <c r="G288" i="14"/>
  <c r="H288" i="14"/>
  <c r="E289" i="14"/>
  <c r="F289" i="14"/>
  <c r="G289" i="14"/>
  <c r="H289" i="14"/>
  <c r="E290" i="14"/>
  <c r="F290" i="14" s="1"/>
  <c r="G290" i="14"/>
  <c r="H290" i="14" s="1"/>
  <c r="E291" i="14"/>
  <c r="F291" i="14"/>
  <c r="G291" i="14"/>
  <c r="H291" i="14"/>
  <c r="E292" i="14"/>
  <c r="F292" i="14"/>
  <c r="G292" i="14"/>
  <c r="H292" i="14" s="1"/>
  <c r="E293" i="14"/>
  <c r="F293" i="14"/>
  <c r="G293" i="14"/>
  <c r="H293" i="14"/>
  <c r="E294" i="14"/>
  <c r="F294" i="14" s="1"/>
  <c r="G294" i="14"/>
  <c r="H294" i="14"/>
  <c r="E295" i="14"/>
  <c r="F295" i="14"/>
  <c r="G295" i="14"/>
  <c r="H295" i="14"/>
  <c r="E296" i="14"/>
  <c r="F296" i="14" s="1"/>
  <c r="G296" i="14"/>
  <c r="H296" i="14" s="1"/>
  <c r="E297" i="14"/>
  <c r="F297" i="14" s="1"/>
  <c r="G297" i="14"/>
  <c r="H297" i="14"/>
  <c r="E307" i="14"/>
  <c r="F307" i="14" s="1"/>
  <c r="G307" i="14"/>
  <c r="H307" i="14"/>
  <c r="E308" i="14"/>
  <c r="F308" i="14"/>
  <c r="G308" i="14"/>
  <c r="H308" i="14"/>
  <c r="E309" i="14"/>
  <c r="F309" i="14" s="1"/>
  <c r="G309" i="14"/>
  <c r="H309" i="14" s="1"/>
  <c r="E310" i="14"/>
  <c r="F310" i="14"/>
  <c r="G310" i="14"/>
  <c r="H310" i="14"/>
  <c r="E311" i="14"/>
  <c r="F311" i="14"/>
  <c r="G311" i="14"/>
  <c r="H311" i="14" s="1"/>
  <c r="E312" i="14"/>
  <c r="F312" i="14"/>
  <c r="G312" i="14"/>
  <c r="H312" i="14" s="1"/>
  <c r="E313" i="14"/>
  <c r="F313" i="14" s="1"/>
  <c r="G313" i="14"/>
  <c r="H313" i="14"/>
  <c r="E314" i="14"/>
  <c r="F314" i="14"/>
  <c r="G314" i="14"/>
  <c r="H314" i="14"/>
  <c r="E315" i="14"/>
  <c r="F315" i="14" s="1"/>
  <c r="G315" i="14"/>
  <c r="H315" i="14" s="1"/>
  <c r="E316" i="14"/>
  <c r="F316" i="14"/>
  <c r="G316" i="14"/>
  <c r="H316" i="14"/>
  <c r="E317" i="14"/>
  <c r="F317" i="14"/>
  <c r="G317" i="14"/>
  <c r="H317" i="14" s="1"/>
  <c r="E318" i="14"/>
  <c r="F318" i="14"/>
  <c r="G318" i="14"/>
  <c r="H318" i="14"/>
  <c r="E319" i="14"/>
  <c r="F319" i="14" s="1"/>
  <c r="G319" i="14"/>
  <c r="H319" i="14"/>
  <c r="E320" i="14"/>
  <c r="F320" i="14"/>
  <c r="G320" i="14"/>
  <c r="H320" i="14"/>
  <c r="E321" i="14"/>
  <c r="F321" i="14" s="1"/>
  <c r="G321" i="14"/>
  <c r="H321" i="14" s="1"/>
  <c r="E322" i="14"/>
  <c r="F322" i="14"/>
  <c r="G322" i="14"/>
  <c r="H322" i="14"/>
  <c r="E323" i="14"/>
  <c r="F323" i="14"/>
  <c r="G323" i="14"/>
  <c r="H323" i="14" s="1"/>
  <c r="E324" i="14"/>
  <c r="F324" i="14"/>
  <c r="G324" i="14"/>
  <c r="H324" i="14"/>
  <c r="E325" i="14"/>
  <c r="F325" i="14" s="1"/>
  <c r="G325" i="14"/>
  <c r="H325" i="14"/>
  <c r="E326" i="14"/>
  <c r="F326" i="14"/>
  <c r="G326" i="14"/>
  <c r="H326" i="14"/>
  <c r="E327" i="14"/>
  <c r="F327" i="14" s="1"/>
  <c r="G327" i="14"/>
  <c r="H327" i="14" s="1"/>
  <c r="E328" i="14"/>
  <c r="F328" i="14"/>
  <c r="G328" i="14"/>
  <c r="H328" i="14"/>
  <c r="E329" i="14"/>
  <c r="F329" i="14"/>
  <c r="G329" i="14"/>
  <c r="H329" i="14" s="1"/>
  <c r="E330" i="14"/>
  <c r="F330" i="14"/>
  <c r="G330" i="14"/>
  <c r="H330" i="14"/>
  <c r="J330" i="14"/>
  <c r="E331" i="14"/>
  <c r="F331" i="14"/>
  <c r="G331" i="14"/>
  <c r="H331" i="14"/>
  <c r="J331" i="14"/>
  <c r="E332" i="14"/>
  <c r="F332" i="14"/>
  <c r="G332" i="14"/>
  <c r="H332" i="14"/>
  <c r="E333" i="14"/>
  <c r="F333" i="14" s="1"/>
  <c r="G333" i="14"/>
  <c r="H333" i="14"/>
  <c r="E334" i="14"/>
  <c r="F334" i="14"/>
  <c r="G334" i="14"/>
  <c r="H334" i="14"/>
  <c r="E335" i="14"/>
  <c r="F335" i="14" s="1"/>
  <c r="G335" i="14"/>
  <c r="H335" i="14" s="1"/>
  <c r="E336" i="14"/>
  <c r="F336" i="14"/>
  <c r="G336" i="14"/>
  <c r="H336" i="14"/>
  <c r="E337" i="14"/>
  <c r="F337" i="14"/>
  <c r="G337" i="14"/>
  <c r="H337" i="14" s="1"/>
  <c r="E338" i="14"/>
  <c r="F338" i="14"/>
  <c r="G338" i="14"/>
  <c r="H338" i="14"/>
  <c r="E339" i="14"/>
  <c r="F339" i="14" s="1"/>
  <c r="G339" i="14"/>
  <c r="H339" i="14"/>
  <c r="E340" i="14"/>
  <c r="F340" i="14"/>
  <c r="G340" i="14"/>
  <c r="H340" i="14"/>
  <c r="E341" i="14"/>
  <c r="F341" i="14" s="1"/>
  <c r="G341" i="14"/>
  <c r="H341" i="14" s="1"/>
  <c r="E342" i="14"/>
  <c r="F342" i="14"/>
  <c r="G342" i="14"/>
  <c r="H342" i="14"/>
  <c r="I342" i="14"/>
  <c r="E343" i="14"/>
  <c r="F343" i="14"/>
  <c r="G343" i="14"/>
  <c r="H343" i="14"/>
  <c r="E344" i="14"/>
  <c r="F344" i="14"/>
  <c r="G344" i="14"/>
  <c r="H344" i="14" s="1"/>
  <c r="E345" i="14"/>
  <c r="F345" i="14"/>
  <c r="G345" i="14"/>
  <c r="H345" i="14"/>
  <c r="E346" i="14"/>
  <c r="F346" i="14" s="1"/>
  <c r="G346" i="14"/>
  <c r="H346" i="14"/>
  <c r="G347" i="14"/>
  <c r="H347" i="14"/>
  <c r="I347" i="14"/>
  <c r="E347" i="14" s="1"/>
  <c r="F347" i="14" s="1"/>
  <c r="F348" i="14"/>
  <c r="G348" i="14"/>
  <c r="H348" i="14"/>
  <c r="I348" i="14"/>
  <c r="E348" i="14" s="1"/>
  <c r="E349" i="14"/>
  <c r="F349" i="14"/>
  <c r="G349" i="14"/>
  <c r="H349" i="14"/>
  <c r="E350" i="14"/>
  <c r="F350" i="14" s="1"/>
  <c r="G350" i="14"/>
  <c r="H350" i="14" s="1"/>
  <c r="E351" i="14"/>
  <c r="F351" i="14"/>
  <c r="G351" i="14"/>
  <c r="H351" i="14"/>
  <c r="E352" i="14"/>
  <c r="F352" i="14" s="1"/>
  <c r="G352" i="14"/>
  <c r="H352" i="14" s="1"/>
  <c r="E353" i="14"/>
  <c r="F353" i="14"/>
  <c r="G353" i="14"/>
  <c r="H353" i="14" s="1"/>
  <c r="E354" i="14"/>
  <c r="F354" i="14" s="1"/>
  <c r="G354" i="14"/>
  <c r="H354" i="14" s="1"/>
  <c r="E355" i="14"/>
  <c r="F355" i="14"/>
  <c r="G355" i="14"/>
  <c r="H355" i="14"/>
  <c r="E356" i="14"/>
  <c r="F356" i="14" s="1"/>
  <c r="G356" i="14"/>
  <c r="H356" i="14" s="1"/>
  <c r="E357" i="14"/>
  <c r="F357" i="14"/>
  <c r="G357" i="14"/>
  <c r="H357" i="14"/>
  <c r="E358" i="14"/>
  <c r="F358" i="14" s="1"/>
  <c r="G358" i="14"/>
  <c r="H358" i="14" s="1"/>
  <c r="E359" i="14"/>
  <c r="F359" i="14"/>
  <c r="G359" i="14"/>
  <c r="H359" i="14" s="1"/>
  <c r="J359" i="14"/>
  <c r="E360" i="14"/>
  <c r="F360" i="14"/>
  <c r="G360" i="14"/>
  <c r="H360" i="14" s="1"/>
  <c r="G370" i="14"/>
  <c r="H370" i="14" s="1"/>
  <c r="I370" i="14"/>
  <c r="E370" i="14" s="1"/>
  <c r="F370" i="14" s="1"/>
  <c r="E371" i="14"/>
  <c r="F371" i="14" s="1"/>
  <c r="G371" i="14"/>
  <c r="H371" i="14" s="1"/>
  <c r="E372" i="14"/>
  <c r="F372" i="14"/>
  <c r="G372" i="14"/>
  <c r="H372" i="14" s="1"/>
  <c r="E373" i="14"/>
  <c r="F373" i="14"/>
  <c r="G373" i="14"/>
  <c r="H373" i="14"/>
  <c r="E374" i="14"/>
  <c r="F374" i="14"/>
  <c r="G374" i="14"/>
  <c r="H374" i="14" s="1"/>
  <c r="E375" i="14"/>
  <c r="F375" i="14" s="1"/>
  <c r="G375" i="14"/>
  <c r="H375" i="14"/>
  <c r="E376" i="14"/>
  <c r="F376" i="14"/>
  <c r="G376" i="14"/>
  <c r="H376" i="14"/>
  <c r="E377" i="14"/>
  <c r="F377" i="14" s="1"/>
  <c r="G377" i="14"/>
  <c r="H377" i="14" s="1"/>
  <c r="E378" i="14"/>
  <c r="F378" i="14"/>
  <c r="G378" i="14"/>
  <c r="H378" i="14" s="1"/>
  <c r="E379" i="14"/>
  <c r="F379" i="14"/>
  <c r="G379" i="14"/>
  <c r="H379" i="14"/>
  <c r="E380" i="14"/>
  <c r="F380" i="14"/>
  <c r="G380" i="14"/>
  <c r="H380" i="14" s="1"/>
  <c r="E381" i="14"/>
  <c r="F381" i="14" s="1"/>
  <c r="G381" i="14"/>
  <c r="H381" i="14"/>
  <c r="E382" i="14"/>
  <c r="F382" i="14"/>
  <c r="G382" i="14"/>
  <c r="H382" i="14"/>
  <c r="E383" i="14"/>
  <c r="F383" i="14"/>
  <c r="G383" i="14"/>
  <c r="H383" i="14" s="1"/>
  <c r="E384" i="14"/>
  <c r="F384" i="14" s="1"/>
  <c r="G384" i="14"/>
  <c r="H384" i="14"/>
  <c r="E385" i="14"/>
  <c r="F385" i="14"/>
  <c r="G385" i="14"/>
  <c r="H385" i="14"/>
  <c r="E386" i="14"/>
  <c r="F386" i="14"/>
  <c r="G386" i="14"/>
  <c r="H386" i="14" s="1"/>
  <c r="E387" i="14"/>
  <c r="F387" i="14" s="1"/>
  <c r="G387" i="14"/>
  <c r="H387" i="14"/>
  <c r="E388" i="14"/>
  <c r="F388" i="14"/>
  <c r="G388" i="14"/>
  <c r="H388" i="14"/>
  <c r="E389" i="14"/>
  <c r="F389" i="14"/>
  <c r="G389" i="14"/>
  <c r="H389" i="14" s="1"/>
  <c r="E390" i="14"/>
  <c r="F390" i="14" s="1"/>
  <c r="G390" i="14"/>
  <c r="H390" i="14"/>
  <c r="E391" i="14"/>
  <c r="F391" i="14"/>
  <c r="G391" i="14"/>
  <c r="H391" i="14"/>
  <c r="G392" i="14"/>
  <c r="H392" i="14" s="1"/>
  <c r="I392" i="14"/>
  <c r="E392" i="14" s="1"/>
  <c r="F392" i="14" s="1"/>
  <c r="G393" i="14"/>
  <c r="H393" i="14" s="1"/>
  <c r="I393" i="14"/>
  <c r="E393" i="14" s="1"/>
  <c r="F393" i="14" s="1"/>
  <c r="E394" i="14"/>
  <c r="F394" i="14"/>
  <c r="G394" i="14"/>
  <c r="H394" i="14" s="1"/>
  <c r="E404" i="14"/>
  <c r="F404" i="14"/>
  <c r="G404" i="14"/>
  <c r="H404" i="14" s="1"/>
  <c r="E405" i="14"/>
  <c r="F405" i="14" s="1"/>
  <c r="G405" i="14"/>
  <c r="H405" i="14"/>
  <c r="E406" i="14"/>
  <c r="F406" i="14"/>
  <c r="G406" i="14"/>
  <c r="H406" i="14"/>
  <c r="E407" i="14"/>
  <c r="F407" i="14"/>
  <c r="G407" i="14"/>
  <c r="H407" i="14" s="1"/>
  <c r="E408" i="14"/>
  <c r="F408" i="14" s="1"/>
  <c r="G408" i="14"/>
  <c r="H408" i="14"/>
  <c r="E409" i="14"/>
  <c r="F409" i="14"/>
  <c r="G409" i="14"/>
  <c r="H409" i="14"/>
  <c r="G410" i="14"/>
  <c r="H410" i="14" s="1"/>
  <c r="I410" i="14"/>
  <c r="E410" i="14" s="1"/>
  <c r="F410" i="14" s="1"/>
  <c r="E411" i="14"/>
  <c r="F411" i="14"/>
  <c r="G411" i="14"/>
  <c r="H411" i="14" s="1"/>
  <c r="E412" i="14"/>
  <c r="F412" i="14" s="1"/>
  <c r="G412" i="14"/>
  <c r="H412" i="14"/>
  <c r="E413" i="14"/>
  <c r="F413" i="14"/>
  <c r="G413" i="14"/>
  <c r="H413" i="14"/>
  <c r="E414" i="14"/>
  <c r="F414" i="14"/>
  <c r="G414" i="14"/>
  <c r="H414" i="14" s="1"/>
  <c r="E415" i="14"/>
  <c r="F415" i="14" s="1"/>
  <c r="G415" i="14"/>
  <c r="H415" i="14"/>
  <c r="I415" i="14"/>
  <c r="E416" i="14"/>
  <c r="F416" i="14" s="1"/>
  <c r="G416" i="14"/>
  <c r="H416" i="14"/>
  <c r="E417" i="14"/>
  <c r="F417" i="14"/>
  <c r="G417" i="14"/>
  <c r="H417" i="14"/>
  <c r="E427" i="14"/>
  <c r="F427" i="14"/>
  <c r="J427" i="14"/>
  <c r="G427" i="14" s="1"/>
  <c r="H427" i="14" s="1"/>
  <c r="E428" i="14"/>
  <c r="F428" i="14"/>
  <c r="G428" i="14"/>
  <c r="H428" i="14"/>
  <c r="E429" i="14"/>
  <c r="F429" i="14"/>
  <c r="G429" i="14"/>
  <c r="H429" i="14" s="1"/>
  <c r="E430" i="14"/>
  <c r="F430" i="14" s="1"/>
  <c r="G430" i="14"/>
  <c r="H430" i="14"/>
  <c r="E431" i="14"/>
  <c r="F431" i="14"/>
  <c r="G431" i="14"/>
  <c r="H431" i="14"/>
  <c r="E432" i="14"/>
  <c r="F432" i="14"/>
  <c r="G432" i="14"/>
  <c r="H432" i="14" s="1"/>
  <c r="E433" i="14"/>
  <c r="F433" i="14" s="1"/>
  <c r="G433" i="14"/>
  <c r="H433" i="14"/>
  <c r="E434" i="14"/>
  <c r="F434" i="14"/>
  <c r="G434" i="14"/>
  <c r="H434" i="14"/>
  <c r="E435" i="14"/>
  <c r="F435" i="14"/>
  <c r="G435" i="14"/>
  <c r="H435" i="14" s="1"/>
  <c r="E436" i="14"/>
  <c r="F436" i="14" s="1"/>
  <c r="G436" i="14"/>
  <c r="H436" i="14"/>
  <c r="E446" i="14"/>
  <c r="F446" i="14" s="1"/>
  <c r="G446" i="14"/>
  <c r="H446" i="14"/>
  <c r="H456" i="14" s="1"/>
  <c r="G447" i="14"/>
  <c r="H447" i="14"/>
  <c r="I447" i="14"/>
  <c r="E447" i="14" s="1"/>
  <c r="F447" i="14" s="1"/>
  <c r="E448" i="14"/>
  <c r="F448" i="14"/>
  <c r="G448" i="14"/>
  <c r="H448" i="14"/>
  <c r="G449" i="14"/>
  <c r="H449" i="14" s="1"/>
  <c r="I449" i="14"/>
  <c r="E449" i="14" s="1"/>
  <c r="F449" i="14" s="1"/>
  <c r="G450" i="14"/>
  <c r="H450" i="14" s="1"/>
  <c r="I450" i="14"/>
  <c r="E450" i="14" s="1"/>
  <c r="F450" i="14" s="1"/>
  <c r="E451" i="14"/>
  <c r="F451" i="14"/>
  <c r="G451" i="14"/>
  <c r="H451" i="14" s="1"/>
  <c r="E452" i="14"/>
  <c r="F452" i="14" s="1"/>
  <c r="G452" i="14"/>
  <c r="H452" i="14"/>
  <c r="E453" i="14"/>
  <c r="F453" i="14"/>
  <c r="G453" i="14"/>
  <c r="H453" i="14"/>
  <c r="G454" i="14"/>
  <c r="H454" i="14" s="1"/>
  <c r="I454" i="14"/>
  <c r="E454" i="14" s="1"/>
  <c r="F454" i="14" s="1"/>
  <c r="E455" i="14"/>
  <c r="F455" i="14"/>
  <c r="G455" i="14"/>
  <c r="H455" i="14" s="1"/>
  <c r="J455" i="14"/>
  <c r="E465" i="14"/>
  <c r="F465" i="14"/>
  <c r="F470" i="14" s="1"/>
  <c r="J465" i="14"/>
  <c r="G465" i="14" s="1"/>
  <c r="H465" i="14" s="1"/>
  <c r="E466" i="14"/>
  <c r="F466" i="14"/>
  <c r="J466" i="14"/>
  <c r="G466" i="14" s="1"/>
  <c r="H466" i="14" s="1"/>
  <c r="E467" i="14"/>
  <c r="F467" i="14"/>
  <c r="J467" i="14"/>
  <c r="G467" i="14" s="1"/>
  <c r="H467" i="14" s="1"/>
  <c r="E468" i="14"/>
  <c r="F468" i="14"/>
  <c r="J468" i="14"/>
  <c r="G468" i="14" s="1"/>
  <c r="H468" i="14" s="1"/>
  <c r="E469" i="14"/>
  <c r="F469" i="14"/>
  <c r="J469" i="14"/>
  <c r="G469" i="14" s="1"/>
  <c r="H469" i="14" s="1"/>
  <c r="B489" i="14"/>
  <c r="B490" i="14"/>
  <c r="B491" i="14"/>
  <c r="B492" i="14"/>
  <c r="B493" i="14"/>
  <c r="B494" i="14"/>
  <c r="B495" i="14"/>
  <c r="B496" i="14"/>
  <c r="B497" i="14"/>
  <c r="B498" i="14"/>
  <c r="B499" i="14"/>
  <c r="B500" i="14"/>
  <c r="B501" i="14"/>
  <c r="B502" i="14"/>
  <c r="B503" i="14"/>
  <c r="B504" i="14"/>
  <c r="E513" i="14"/>
  <c r="G513" i="14" s="1"/>
  <c r="F455" i="15" l="1"/>
  <c r="H455" i="15"/>
  <c r="F439" i="15"/>
  <c r="E524" i="15" s="1"/>
  <c r="F437" i="15"/>
  <c r="H469" i="15"/>
  <c r="F470" i="15"/>
  <c r="F472" i="15" s="1"/>
  <c r="E526" i="15" s="1"/>
  <c r="H435" i="15"/>
  <c r="H416" i="15"/>
  <c r="H409" i="15"/>
  <c r="H403" i="15"/>
  <c r="H387" i="15"/>
  <c r="F337" i="15"/>
  <c r="F334" i="15"/>
  <c r="F331" i="15"/>
  <c r="H319" i="15"/>
  <c r="H313" i="15"/>
  <c r="F306" i="15"/>
  <c r="F249" i="15"/>
  <c r="H249" i="15"/>
  <c r="H280" i="15"/>
  <c r="F280" i="15"/>
  <c r="H177" i="15"/>
  <c r="H178" i="15"/>
  <c r="G515" i="15" s="1"/>
  <c r="A70" i="15"/>
  <c r="A71" i="15" s="1"/>
  <c r="A72" i="15" s="1"/>
  <c r="A73" i="15" s="1"/>
  <c r="A74" i="15" s="1"/>
  <c r="A80" i="15" s="1"/>
  <c r="A81" i="15" s="1"/>
  <c r="A82" i="15" s="1"/>
  <c r="A83" i="15" s="1"/>
  <c r="A84" i="15" s="1"/>
  <c r="A85" i="15" s="1"/>
  <c r="A86" i="15" s="1"/>
  <c r="A87" i="15" s="1"/>
  <c r="A88" i="15" s="1"/>
  <c r="A89" i="15" s="1"/>
  <c r="A90" i="15" s="1"/>
  <c r="A91" i="15" s="1"/>
  <c r="A92" i="15" s="1"/>
  <c r="A93" i="15" s="1"/>
  <c r="A94" i="15" s="1"/>
  <c r="A95" i="15" s="1"/>
  <c r="A96" i="15" s="1"/>
  <c r="A97" i="15" s="1"/>
  <c r="A98" i="15" s="1"/>
  <c r="A99" i="15" s="1"/>
  <c r="A100" i="15" s="1"/>
  <c r="A101" i="15" s="1"/>
  <c r="A107" i="15" s="1"/>
  <c r="A108" i="15" s="1"/>
  <c r="A109" i="15" s="1"/>
  <c r="A110" i="15" s="1"/>
  <c r="A111" i="15" s="1"/>
  <c r="A112" i="15" s="1"/>
  <c r="A113" i="15" s="1"/>
  <c r="A114" i="15" s="1"/>
  <c r="A115" i="15" s="1"/>
  <c r="A116" i="15" s="1"/>
  <c r="A117" i="15" s="1"/>
  <c r="A118" i="15" s="1"/>
  <c r="A119" i="15" s="1"/>
  <c r="A120" i="15" s="1"/>
  <c r="A121" i="15" s="1"/>
  <c r="A122" i="15" s="1"/>
  <c r="A123" i="15" s="1"/>
  <c r="A124" i="15" s="1"/>
  <c r="A125" i="15" s="1"/>
  <c r="A126" i="15" s="1"/>
  <c r="A127" i="15" s="1"/>
  <c r="A128" i="15" s="1"/>
  <c r="A129" i="15" s="1"/>
  <c r="A130" i="15" s="1"/>
  <c r="A131" i="15" s="1"/>
  <c r="A132" i="15" s="1"/>
  <c r="A133" i="15" s="1"/>
  <c r="A134" i="15" s="1"/>
  <c r="A135" i="15" s="1"/>
  <c r="A141" i="15" s="1"/>
  <c r="A142" i="15" s="1"/>
  <c r="A143" i="15" s="1"/>
  <c r="A144" i="15" s="1"/>
  <c r="A145" i="15" s="1"/>
  <c r="A146" i="15" s="1"/>
  <c r="A147" i="15" s="1"/>
  <c r="A148" i="15" s="1"/>
  <c r="A149" i="15" s="1"/>
  <c r="A150" i="15" s="1"/>
  <c r="A151" i="15" s="1"/>
  <c r="A152" i="15" s="1"/>
  <c r="A153" i="15" s="1"/>
  <c r="A154" i="15" s="1"/>
  <c r="A155" i="15" s="1"/>
  <c r="A156" i="15" s="1"/>
  <c r="A157" i="15" s="1"/>
  <c r="A163" i="15" s="1"/>
  <c r="A164" i="15" s="1"/>
  <c r="A165" i="15" s="1"/>
  <c r="A166" i="15" s="1"/>
  <c r="A167" i="15" s="1"/>
  <c r="A168" i="15" s="1"/>
  <c r="A169" i="15" s="1"/>
  <c r="A170" i="15" s="1"/>
  <c r="A171" i="15" s="1"/>
  <c r="A172" i="15" s="1"/>
  <c r="A173" i="15" s="1"/>
  <c r="A174" i="15" s="1"/>
  <c r="A175" i="15" s="1"/>
  <c r="A176" i="15" s="1"/>
  <c r="A177" i="15" s="1"/>
  <c r="A178" i="15" s="1"/>
  <c r="A184" i="15" s="1"/>
  <c r="A185" i="15" s="1"/>
  <c r="A186" i="15" s="1"/>
  <c r="A187" i="15" s="1"/>
  <c r="A188" i="15" s="1"/>
  <c r="A189" i="15" s="1"/>
  <c r="A190" i="15" s="1"/>
  <c r="A191" i="15" s="1"/>
  <c r="A192" i="15" s="1"/>
  <c r="A193" i="15" s="1"/>
  <c r="A194" i="15" s="1"/>
  <c r="A195" i="15" s="1"/>
  <c r="A196" i="15" s="1"/>
  <c r="A197" i="15" s="1"/>
  <c r="A198" i="15" s="1"/>
  <c r="A199" i="15" s="1"/>
  <c r="A200" i="15" s="1"/>
  <c r="A57" i="15"/>
  <c r="A58" i="15" s="1"/>
  <c r="A59" i="15" s="1"/>
  <c r="A60" i="15" s="1"/>
  <c r="A61" i="15" s="1"/>
  <c r="A62" i="15" s="1"/>
  <c r="A63" i="15" s="1"/>
  <c r="A64" i="15" s="1"/>
  <c r="A65" i="15" s="1"/>
  <c r="A66" i="15" s="1"/>
  <c r="A67" i="15" s="1"/>
  <c r="A68" i="15" s="1"/>
  <c r="A69" i="15" s="1"/>
  <c r="H405" i="15"/>
  <c r="H389" i="15"/>
  <c r="F385" i="15"/>
  <c r="F379" i="15"/>
  <c r="F373" i="15"/>
  <c r="F338" i="15"/>
  <c r="F335" i="15"/>
  <c r="F332" i="15"/>
  <c r="H315" i="15"/>
  <c r="H309" i="15"/>
  <c r="H304" i="15"/>
  <c r="H239" i="15"/>
  <c r="F240" i="15"/>
  <c r="F242" i="15" s="1"/>
  <c r="E518" i="15" s="1"/>
  <c r="G535" i="15"/>
  <c r="B535" i="15" s="1"/>
  <c r="F391" i="15"/>
  <c r="F154" i="15"/>
  <c r="F133" i="15"/>
  <c r="F135" i="15" s="1"/>
  <c r="E513" i="15" s="1"/>
  <c r="H426" i="15"/>
  <c r="H436" i="15" s="1"/>
  <c r="H415" i="15"/>
  <c r="H407" i="15"/>
  <c r="H358" i="15"/>
  <c r="F329" i="15"/>
  <c r="F360" i="15" s="1"/>
  <c r="H317" i="15"/>
  <c r="H311" i="15"/>
  <c r="F404" i="15"/>
  <c r="F417" i="15" s="1"/>
  <c r="F393" i="15"/>
  <c r="F388" i="15"/>
  <c r="F382" i="15"/>
  <c r="F376" i="15"/>
  <c r="F371" i="15"/>
  <c r="H369" i="15"/>
  <c r="H394" i="15" s="1"/>
  <c r="H329" i="15"/>
  <c r="H307" i="15"/>
  <c r="F252" i="15"/>
  <c r="H252" i="15"/>
  <c r="F197" i="15"/>
  <c r="F292" i="15"/>
  <c r="H292" i="15"/>
  <c r="F290" i="15"/>
  <c r="H290" i="15"/>
  <c r="F288" i="15"/>
  <c r="H288" i="15"/>
  <c r="F286" i="15"/>
  <c r="H286" i="15"/>
  <c r="F284" i="15"/>
  <c r="H284" i="15"/>
  <c r="F277" i="15"/>
  <c r="F295" i="15" s="1"/>
  <c r="F259" i="15"/>
  <c r="H259" i="15"/>
  <c r="F257" i="15"/>
  <c r="H257" i="15"/>
  <c r="F255" i="15"/>
  <c r="H255" i="15"/>
  <c r="F219" i="15"/>
  <c r="H154" i="15"/>
  <c r="F262" i="15"/>
  <c r="H262" i="15"/>
  <c r="H219" i="15"/>
  <c r="H197" i="15"/>
  <c r="F291" i="15"/>
  <c r="H291" i="15"/>
  <c r="F289" i="15"/>
  <c r="H289" i="15"/>
  <c r="F287" i="15"/>
  <c r="H287" i="15"/>
  <c r="F285" i="15"/>
  <c r="H285" i="15"/>
  <c r="F260" i="15"/>
  <c r="H260" i="15"/>
  <c r="F258" i="15"/>
  <c r="F265" i="15" s="1"/>
  <c r="H258" i="15"/>
  <c r="H265" i="15" s="1"/>
  <c r="F256" i="15"/>
  <c r="H256" i="15"/>
  <c r="F254" i="15"/>
  <c r="H254" i="15"/>
  <c r="H132" i="15"/>
  <c r="H92" i="15"/>
  <c r="F86" i="15"/>
  <c r="F98" i="15" s="1"/>
  <c r="H45" i="15"/>
  <c r="F45" i="15"/>
  <c r="H43" i="15"/>
  <c r="F43" i="15"/>
  <c r="F36" i="15"/>
  <c r="H36" i="15"/>
  <c r="H33" i="15"/>
  <c r="F33" i="15"/>
  <c r="H93" i="15"/>
  <c r="H98" i="15" s="1"/>
  <c r="H53" i="15"/>
  <c r="F53" i="15"/>
  <c r="H51" i="15"/>
  <c r="F51" i="15"/>
  <c r="H49" i="15"/>
  <c r="F49" i="15"/>
  <c r="F37" i="15"/>
  <c r="F71" i="15" s="1"/>
  <c r="H37" i="15"/>
  <c r="H46" i="15"/>
  <c r="F46" i="15"/>
  <c r="H44" i="15"/>
  <c r="F44" i="15"/>
  <c r="H42" i="15"/>
  <c r="F42" i="15"/>
  <c r="H34" i="15"/>
  <c r="F34" i="15"/>
  <c r="H32" i="15"/>
  <c r="H71" i="15" s="1"/>
  <c r="F32" i="15"/>
  <c r="H70" i="15"/>
  <c r="F35" i="15"/>
  <c r="H35" i="15"/>
  <c r="H52" i="15"/>
  <c r="F52" i="15"/>
  <c r="H50" i="15"/>
  <c r="F50" i="15"/>
  <c r="H458" i="14"/>
  <c r="H459" i="14"/>
  <c r="G503" i="14" s="1"/>
  <c r="F471" i="14"/>
  <c r="F473" i="14" s="1"/>
  <c r="E504" i="14" s="1"/>
  <c r="H418" i="14"/>
  <c r="F395" i="14"/>
  <c r="H470" i="14"/>
  <c r="F456" i="14"/>
  <c r="F418" i="14"/>
  <c r="H395" i="14"/>
  <c r="F361" i="14"/>
  <c r="H437" i="14"/>
  <c r="H300" i="14"/>
  <c r="H301" i="14"/>
  <c r="G498" i="14" s="1"/>
  <c r="A61" i="14"/>
  <c r="A62" i="14" s="1"/>
  <c r="A63" i="14" s="1"/>
  <c r="A64" i="14" s="1"/>
  <c r="A65" i="14" s="1"/>
  <c r="A66" i="14" s="1"/>
  <c r="A67" i="14" s="1"/>
  <c r="A68" i="14" s="1"/>
  <c r="A69" i="14" s="1"/>
  <c r="A70" i="14" s="1"/>
  <c r="A71" i="14" s="1"/>
  <c r="A72" i="14" s="1"/>
  <c r="A73" i="14"/>
  <c r="A74" i="14" s="1"/>
  <c r="A75" i="14" s="1"/>
  <c r="A76" i="14" s="1"/>
  <c r="A77" i="14" s="1"/>
  <c r="A83" i="14" s="1"/>
  <c r="A84" i="14" s="1"/>
  <c r="A85" i="14" s="1"/>
  <c r="A86" i="14" s="1"/>
  <c r="A87" i="14" s="1"/>
  <c r="A88" i="14" s="1"/>
  <c r="A89" i="14" s="1"/>
  <c r="A90" i="14" s="1"/>
  <c r="A91" i="14" s="1"/>
  <c r="A92" i="14" s="1"/>
  <c r="A93" i="14" s="1"/>
  <c r="A94" i="14" s="1"/>
  <c r="A95" i="14" s="1"/>
  <c r="A96" i="14" s="1"/>
  <c r="A97" i="14" s="1"/>
  <c r="A98" i="14" s="1"/>
  <c r="A99" i="14" s="1"/>
  <c r="A100" i="14" s="1"/>
  <c r="A101" i="14" s="1"/>
  <c r="A102" i="14" s="1"/>
  <c r="A108" i="14" s="1"/>
  <c r="A109" i="14" s="1"/>
  <c r="A110" i="14" s="1"/>
  <c r="A111" i="14" s="1"/>
  <c r="A112" i="14" s="1"/>
  <c r="A113" i="14" s="1"/>
  <c r="A114" i="14" s="1"/>
  <c r="A115" i="14" s="1"/>
  <c r="A116" i="14" s="1"/>
  <c r="A117" i="14" s="1"/>
  <c r="A118" i="14" s="1"/>
  <c r="A119" i="14" s="1"/>
  <c r="A120" i="14" s="1"/>
  <c r="A121" i="14" s="1"/>
  <c r="A122" i="14" s="1"/>
  <c r="A123" i="14" s="1"/>
  <c r="A124" i="14" s="1"/>
  <c r="A125" i="14" s="1"/>
  <c r="A126" i="14" s="1"/>
  <c r="A127" i="14" s="1"/>
  <c r="A128" i="14" s="1"/>
  <c r="A129" i="14" s="1"/>
  <c r="A130" i="14" s="1"/>
  <c r="A131" i="14" s="1"/>
  <c r="A132" i="14" s="1"/>
  <c r="A133" i="14" s="1"/>
  <c r="A134" i="14" s="1"/>
  <c r="A140" i="14" s="1"/>
  <c r="A141" i="14" s="1"/>
  <c r="A142" i="14" s="1"/>
  <c r="A143" i="14" s="1"/>
  <c r="A144" i="14" s="1"/>
  <c r="A145" i="14" s="1"/>
  <c r="A146" i="14" s="1"/>
  <c r="A147" i="14" s="1"/>
  <c r="A148" i="14" s="1"/>
  <c r="A149" i="14" s="1"/>
  <c r="A150" i="14" s="1"/>
  <c r="A151" i="14" s="1"/>
  <c r="A152" i="14" s="1"/>
  <c r="A153" i="14" s="1"/>
  <c r="A154" i="14" s="1"/>
  <c r="A155" i="14" s="1"/>
  <c r="A156" i="14" s="1"/>
  <c r="A157" i="14" s="1"/>
  <c r="A163" i="14" s="1"/>
  <c r="A164" i="14" s="1"/>
  <c r="A165" i="14" s="1"/>
  <c r="A166" i="14" s="1"/>
  <c r="A167" i="14" s="1"/>
  <c r="A168" i="14" s="1"/>
  <c r="A169" i="14" s="1"/>
  <c r="A170" i="14" s="1"/>
  <c r="A171" i="14" s="1"/>
  <c r="A172" i="14" s="1"/>
  <c r="A173" i="14" s="1"/>
  <c r="A174" i="14" s="1"/>
  <c r="A175" i="14" s="1"/>
  <c r="A176" i="14" s="1"/>
  <c r="A177" i="14" s="1"/>
  <c r="A178" i="14" s="1"/>
  <c r="A184" i="14" s="1"/>
  <c r="A185" i="14" s="1"/>
  <c r="A186" i="14" s="1"/>
  <c r="A187" i="14" s="1"/>
  <c r="A188" i="14" s="1"/>
  <c r="A189" i="14" s="1"/>
  <c r="A190" i="14" s="1"/>
  <c r="A191" i="14" s="1"/>
  <c r="A192" i="14" s="1"/>
  <c r="A193" i="14" s="1"/>
  <c r="A194" i="14" s="1"/>
  <c r="A195" i="14" s="1"/>
  <c r="A196" i="14" s="1"/>
  <c r="A197" i="14" s="1"/>
  <c r="A198" i="14" s="1"/>
  <c r="A199" i="14" s="1"/>
  <c r="A200" i="14" s="1"/>
  <c r="A206" i="14" s="1"/>
  <c r="A207" i="14" s="1"/>
  <c r="A208" i="14" s="1"/>
  <c r="A209" i="14" s="1"/>
  <c r="A210" i="14" s="1"/>
  <c r="A211" i="14" s="1"/>
  <c r="A212" i="14" s="1"/>
  <c r="A213" i="14" s="1"/>
  <c r="A214" i="14" s="1"/>
  <c r="A215" i="14" s="1"/>
  <c r="A216" i="14" s="1"/>
  <c r="A217" i="14" s="1"/>
  <c r="A218" i="14" s="1"/>
  <c r="A219" i="14" s="1"/>
  <c r="A220" i="14" s="1"/>
  <c r="A221" i="14" s="1"/>
  <c r="A222" i="14" s="1"/>
  <c r="A228" i="14" s="1"/>
  <c r="A229" i="14" s="1"/>
  <c r="A230" i="14" s="1"/>
  <c r="A231" i="14" s="1"/>
  <c r="A232" i="14" s="1"/>
  <c r="A233" i="14" s="1"/>
  <c r="A234" i="14" s="1"/>
  <c r="A235" i="14" s="1"/>
  <c r="A236" i="14" s="1"/>
  <c r="A237" i="14" s="1"/>
  <c r="A238" i="14" s="1"/>
  <c r="A239" i="14" s="1"/>
  <c r="A240" i="14" s="1"/>
  <c r="A241" i="14" s="1"/>
  <c r="A242" i="14" s="1"/>
  <c r="A248" i="14" s="1"/>
  <c r="A249" i="14" s="1"/>
  <c r="A250" i="14" s="1"/>
  <c r="A251" i="14" s="1"/>
  <c r="A252" i="14" s="1"/>
  <c r="A253" i="14" s="1"/>
  <c r="A254" i="14" s="1"/>
  <c r="A255" i="14" s="1"/>
  <c r="A256" i="14" s="1"/>
  <c r="A257" i="14" s="1"/>
  <c r="A258" i="14" s="1"/>
  <c r="A259" i="14" s="1"/>
  <c r="A260" i="14" s="1"/>
  <c r="A261" i="14" s="1"/>
  <c r="A262" i="14" s="1"/>
  <c r="A263" i="14" s="1"/>
  <c r="A264" i="14" s="1"/>
  <c r="A265" i="14" s="1"/>
  <c r="A266" i="14" s="1"/>
  <c r="A267" i="14" s="1"/>
  <c r="A268" i="14" s="1"/>
  <c r="A269" i="14" s="1"/>
  <c r="A270" i="14" s="1"/>
  <c r="A271" i="14" s="1"/>
  <c r="A277" i="14" s="1"/>
  <c r="A278" i="14" s="1"/>
  <c r="A279" i="14" s="1"/>
  <c r="A280" i="14" s="1"/>
  <c r="A281" i="14" s="1"/>
  <c r="A282" i="14" s="1"/>
  <c r="A283" i="14" s="1"/>
  <c r="A284" i="14" s="1"/>
  <c r="A285" i="14" s="1"/>
  <c r="A286" i="14" s="1"/>
  <c r="A287" i="14" s="1"/>
  <c r="A288" i="14" s="1"/>
  <c r="A289" i="14" s="1"/>
  <c r="A290" i="14" s="1"/>
  <c r="A291" i="14" s="1"/>
  <c r="A292" i="14" s="1"/>
  <c r="A293" i="14" s="1"/>
  <c r="A294" i="14" s="1"/>
  <c r="A295" i="14" s="1"/>
  <c r="A296" i="14" s="1"/>
  <c r="A297" i="14" s="1"/>
  <c r="A298" i="14" s="1"/>
  <c r="A299" i="14" s="1"/>
  <c r="A300" i="14" s="1"/>
  <c r="A301" i="14" s="1"/>
  <c r="A307" i="14" s="1"/>
  <c r="A308" i="14" s="1"/>
  <c r="A309" i="14" s="1"/>
  <c r="A310" i="14" s="1"/>
  <c r="A311" i="14" s="1"/>
  <c r="A312" i="14" s="1"/>
  <c r="A313" i="14" s="1"/>
  <c r="A314" i="14" s="1"/>
  <c r="A315" i="14" s="1"/>
  <c r="A316" i="14" s="1"/>
  <c r="A317" i="14" s="1"/>
  <c r="A318" i="14" s="1"/>
  <c r="A319" i="14" s="1"/>
  <c r="A320" i="14" s="1"/>
  <c r="A321" i="14" s="1"/>
  <c r="A322" i="14" s="1"/>
  <c r="A323" i="14" s="1"/>
  <c r="A324" i="14" s="1"/>
  <c r="A325" i="14" s="1"/>
  <c r="A326" i="14" s="1"/>
  <c r="A327" i="14" s="1"/>
  <c r="A328" i="14" s="1"/>
  <c r="A329" i="14" s="1"/>
  <c r="A330" i="14" s="1"/>
  <c r="A331" i="14" s="1"/>
  <c r="A332" i="14" s="1"/>
  <c r="A333" i="14" s="1"/>
  <c r="A334" i="14" s="1"/>
  <c r="A335" i="14" s="1"/>
  <c r="A336" i="14" s="1"/>
  <c r="A337" i="14" s="1"/>
  <c r="A338" i="14" s="1"/>
  <c r="A339" i="14" s="1"/>
  <c r="A340" i="14" s="1"/>
  <c r="A341" i="14" s="1"/>
  <c r="A342" i="14" s="1"/>
  <c r="A343" i="14" s="1"/>
  <c r="A344" i="14" s="1"/>
  <c r="A345" i="14" s="1"/>
  <c r="A346" i="14" s="1"/>
  <c r="A347" i="14" s="1"/>
  <c r="A348" i="14" s="1"/>
  <c r="A349" i="14" s="1"/>
  <c r="A350" i="14" s="1"/>
  <c r="A351" i="14" s="1"/>
  <c r="A352" i="14" s="1"/>
  <c r="A353" i="14" s="1"/>
  <c r="A354" i="14" s="1"/>
  <c r="A355" i="14" s="1"/>
  <c r="A356" i="14" s="1"/>
  <c r="A357" i="14" s="1"/>
  <c r="A358" i="14" s="1"/>
  <c r="A359" i="14" s="1"/>
  <c r="A360" i="14" s="1"/>
  <c r="A361" i="14" s="1"/>
  <c r="A362" i="14" s="1"/>
  <c r="A363" i="14" s="1"/>
  <c r="A364" i="14" s="1"/>
  <c r="A370" i="14" s="1"/>
  <c r="A371" i="14" s="1"/>
  <c r="A372" i="14" s="1"/>
  <c r="A373" i="14" s="1"/>
  <c r="A374" i="14" s="1"/>
  <c r="A375" i="14" s="1"/>
  <c r="A376" i="14" s="1"/>
  <c r="A377" i="14" s="1"/>
  <c r="A378" i="14" s="1"/>
  <c r="A379" i="14" s="1"/>
  <c r="A380" i="14" s="1"/>
  <c r="A381" i="14" s="1"/>
  <c r="A382" i="14" s="1"/>
  <c r="A383" i="14" s="1"/>
  <c r="A384" i="14" s="1"/>
  <c r="A385" i="14" s="1"/>
  <c r="A386" i="14" s="1"/>
  <c r="A387" i="14" s="1"/>
  <c r="A388" i="14" s="1"/>
  <c r="A389" i="14" s="1"/>
  <c r="A390" i="14" s="1"/>
  <c r="A391" i="14" s="1"/>
  <c r="A392" i="14" s="1"/>
  <c r="A393" i="14" s="1"/>
  <c r="A394" i="14" s="1"/>
  <c r="A395" i="14" s="1"/>
  <c r="A396" i="14" s="1"/>
  <c r="A397" i="14" s="1"/>
  <c r="A398" i="14" s="1"/>
  <c r="A404" i="14" s="1"/>
  <c r="A405" i="14" s="1"/>
  <c r="A406" i="14" s="1"/>
  <c r="A407" i="14" s="1"/>
  <c r="A408" i="14" s="1"/>
  <c r="A409" i="14" s="1"/>
  <c r="A410" i="14" s="1"/>
  <c r="A411" i="14" s="1"/>
  <c r="A412" i="14" s="1"/>
  <c r="A413" i="14" s="1"/>
  <c r="A414" i="14" s="1"/>
  <c r="A415" i="14" s="1"/>
  <c r="A416" i="14" s="1"/>
  <c r="A417" i="14" s="1"/>
  <c r="A418" i="14" s="1"/>
  <c r="A419" i="14" s="1"/>
  <c r="A420" i="14" s="1"/>
  <c r="A421" i="14" s="1"/>
  <c r="A427" i="14" s="1"/>
  <c r="A428" i="14" s="1"/>
  <c r="A429" i="14" s="1"/>
  <c r="A430" i="14" s="1"/>
  <c r="A431" i="14" s="1"/>
  <c r="A432" i="14" s="1"/>
  <c r="A433" i="14" s="1"/>
  <c r="A434" i="14" s="1"/>
  <c r="A435" i="14" s="1"/>
  <c r="A436" i="14" s="1"/>
  <c r="A437" i="14" s="1"/>
  <c r="A438" i="14" s="1"/>
  <c r="A439" i="14" s="1"/>
  <c r="A440" i="14" s="1"/>
  <c r="A446" i="14" s="1"/>
  <c r="A447" i="14" s="1"/>
  <c r="A448" i="14" s="1"/>
  <c r="A449" i="14" s="1"/>
  <c r="A450" i="14" s="1"/>
  <c r="A451" i="14" s="1"/>
  <c r="A452" i="14" s="1"/>
  <c r="A453" i="14" s="1"/>
  <c r="A454" i="14" s="1"/>
  <c r="A455" i="14" s="1"/>
  <c r="A456" i="14" s="1"/>
  <c r="A457" i="14" s="1"/>
  <c r="A458" i="14" s="1"/>
  <c r="A459" i="14" s="1"/>
  <c r="A465" i="14" s="1"/>
  <c r="A466" i="14" s="1"/>
  <c r="A467" i="14" s="1"/>
  <c r="A468" i="14" s="1"/>
  <c r="A469" i="14" s="1"/>
  <c r="A470" i="14" s="1"/>
  <c r="A471" i="14" s="1"/>
  <c r="A472" i="14" s="1"/>
  <c r="A473" i="14" s="1"/>
  <c r="A489" i="14" s="1"/>
  <c r="A490" i="14" s="1"/>
  <c r="A491" i="14" s="1"/>
  <c r="A492" i="14" s="1"/>
  <c r="A493" i="14" s="1"/>
  <c r="A494" i="14" s="1"/>
  <c r="A495" i="14" s="1"/>
  <c r="A496" i="14" s="1"/>
  <c r="A497" i="14" s="1"/>
  <c r="A498" i="14" s="1"/>
  <c r="A499" i="14" s="1"/>
  <c r="A500" i="14" s="1"/>
  <c r="A501" i="14" s="1"/>
  <c r="A502" i="14" s="1"/>
  <c r="A503" i="14" s="1"/>
  <c r="A504" i="14" s="1"/>
  <c r="A507" i="14" s="1"/>
  <c r="A510" i="14" s="1"/>
  <c r="A517" i="14" s="1"/>
  <c r="F437" i="14"/>
  <c r="H239" i="14"/>
  <c r="B513" i="14"/>
  <c r="H361" i="14"/>
  <c r="H219" i="14"/>
  <c r="F197" i="14"/>
  <c r="F298" i="14"/>
  <c r="H268" i="14"/>
  <c r="F220" i="14"/>
  <c r="F222" i="14" s="1"/>
  <c r="E495" i="14" s="1"/>
  <c r="H175" i="14"/>
  <c r="F175" i="14"/>
  <c r="H156" i="14"/>
  <c r="H157" i="14"/>
  <c r="G492" i="14" s="1"/>
  <c r="F154" i="14"/>
  <c r="H197" i="14"/>
  <c r="F131" i="14"/>
  <c r="F268" i="14"/>
  <c r="F239" i="14"/>
  <c r="H131" i="14"/>
  <c r="H74" i="14"/>
  <c r="F99" i="14"/>
  <c r="H99" i="14"/>
  <c r="F74" i="14"/>
  <c r="H267" i="15" l="1"/>
  <c r="H268" i="15"/>
  <c r="G519" i="15" s="1"/>
  <c r="F296" i="15"/>
  <c r="F298" i="15"/>
  <c r="E520" i="15" s="1"/>
  <c r="F72" i="15"/>
  <c r="F74" i="15" s="1"/>
  <c r="E511" i="15" s="1"/>
  <c r="F266" i="15"/>
  <c r="F268" i="15" s="1"/>
  <c r="E519" i="15" s="1"/>
  <c r="F361" i="15"/>
  <c r="F363" i="15"/>
  <c r="E521" i="15" s="1"/>
  <c r="H100" i="15"/>
  <c r="H101" i="15"/>
  <c r="G512" i="15" s="1"/>
  <c r="H73" i="15"/>
  <c r="H74" i="15"/>
  <c r="G511" i="15" s="1"/>
  <c r="F418" i="15"/>
  <c r="F420" i="15"/>
  <c r="E523" i="15" s="1"/>
  <c r="H295" i="15"/>
  <c r="H156" i="15"/>
  <c r="H157" i="15"/>
  <c r="G514" i="15" s="1"/>
  <c r="H199" i="15"/>
  <c r="H200" i="15"/>
  <c r="G516" i="15" s="1"/>
  <c r="H241" i="15"/>
  <c r="H242" i="15" s="1"/>
  <c r="G518" i="15" s="1"/>
  <c r="H134" i="15"/>
  <c r="H135" i="15"/>
  <c r="G513" i="15" s="1"/>
  <c r="F198" i="15"/>
  <c r="F200" i="15" s="1"/>
  <c r="E516" i="15" s="1"/>
  <c r="H397" i="15"/>
  <c r="G522" i="15" s="1"/>
  <c r="H396" i="15"/>
  <c r="F155" i="15"/>
  <c r="F157" i="15" s="1"/>
  <c r="E514" i="15" s="1"/>
  <c r="H360" i="15"/>
  <c r="A248" i="15"/>
  <c r="A249" i="15" s="1"/>
  <c r="A250" i="15" s="1"/>
  <c r="A251" i="15" s="1"/>
  <c r="A252" i="15" s="1"/>
  <c r="A253" i="15" s="1"/>
  <c r="A254" i="15" s="1"/>
  <c r="A255" i="15" s="1"/>
  <c r="A256" i="15" s="1"/>
  <c r="A257" i="15" s="1"/>
  <c r="A258" i="15" s="1"/>
  <c r="A259" i="15" s="1"/>
  <c r="A260" i="15" s="1"/>
  <c r="A261" i="15" s="1"/>
  <c r="A262" i="15" s="1"/>
  <c r="A263" i="15" s="1"/>
  <c r="A264" i="15" s="1"/>
  <c r="A265" i="15" s="1"/>
  <c r="A266" i="15" s="1"/>
  <c r="A267" i="15" s="1"/>
  <c r="A268" i="15" s="1"/>
  <c r="A274" i="15" s="1"/>
  <c r="A275" i="15" s="1"/>
  <c r="A276" i="15" s="1"/>
  <c r="A277" i="15" s="1"/>
  <c r="A278" i="15" s="1"/>
  <c r="A279" i="15" s="1"/>
  <c r="A280" i="15" s="1"/>
  <c r="A281" i="15" s="1"/>
  <c r="A282" i="15" s="1"/>
  <c r="A283" i="15" s="1"/>
  <c r="A284" i="15" s="1"/>
  <c r="A285" i="15" s="1"/>
  <c r="A286" i="15" s="1"/>
  <c r="A287" i="15" s="1"/>
  <c r="A288" i="15" s="1"/>
  <c r="A289" i="15" s="1"/>
  <c r="A290" i="15" s="1"/>
  <c r="A291" i="15" s="1"/>
  <c r="A292" i="15" s="1"/>
  <c r="A293" i="15" s="1"/>
  <c r="A294" i="15" s="1"/>
  <c r="A295" i="15" s="1"/>
  <c r="A296" i="15" s="1"/>
  <c r="A297" i="15" s="1"/>
  <c r="A298" i="15" s="1"/>
  <c r="A304" i="15" s="1"/>
  <c r="A305" i="15" s="1"/>
  <c r="A306" i="15" s="1"/>
  <c r="A307" i="15" s="1"/>
  <c r="A308" i="15" s="1"/>
  <c r="A309" i="15" s="1"/>
  <c r="A310" i="15" s="1"/>
  <c r="A311" i="15" s="1"/>
  <c r="A312" i="15" s="1"/>
  <c r="A313" i="15" s="1"/>
  <c r="A314" i="15" s="1"/>
  <c r="A315" i="15" s="1"/>
  <c r="A316" i="15" s="1"/>
  <c r="A317" i="15" s="1"/>
  <c r="A318" i="15" s="1"/>
  <c r="A319" i="15" s="1"/>
  <c r="A320" i="15" s="1"/>
  <c r="A321" i="15" s="1"/>
  <c r="A322" i="15" s="1"/>
  <c r="A323" i="15" s="1"/>
  <c r="A324" i="15" s="1"/>
  <c r="A325" i="15" s="1"/>
  <c r="A326" i="15" s="1"/>
  <c r="A327" i="15" s="1"/>
  <c r="A328" i="15" s="1"/>
  <c r="A329" i="15" s="1"/>
  <c r="A330" i="15" s="1"/>
  <c r="A331" i="15" s="1"/>
  <c r="A332" i="15" s="1"/>
  <c r="A333" i="15" s="1"/>
  <c r="A334" i="15" s="1"/>
  <c r="A335" i="15" s="1"/>
  <c r="A336" i="15" s="1"/>
  <c r="A337" i="15" s="1"/>
  <c r="A338" i="15" s="1"/>
  <c r="A339" i="15" s="1"/>
  <c r="A340" i="15" s="1"/>
  <c r="A341" i="15" s="1"/>
  <c r="A342" i="15" s="1"/>
  <c r="A343" i="15" s="1"/>
  <c r="A344" i="15" s="1"/>
  <c r="A345" i="15" s="1"/>
  <c r="A346" i="15" s="1"/>
  <c r="A347" i="15" s="1"/>
  <c r="A348" i="15" s="1"/>
  <c r="A349" i="15" s="1"/>
  <c r="A350" i="15" s="1"/>
  <c r="A351" i="15" s="1"/>
  <c r="A352" i="15" s="1"/>
  <c r="A353" i="15" s="1"/>
  <c r="A354" i="15" s="1"/>
  <c r="A355" i="15" s="1"/>
  <c r="A356" i="15" s="1"/>
  <c r="A357" i="15" s="1"/>
  <c r="A358" i="15" s="1"/>
  <c r="A359" i="15" s="1"/>
  <c r="A360" i="15" s="1"/>
  <c r="A361" i="15" s="1"/>
  <c r="A362" i="15" s="1"/>
  <c r="A363" i="15" s="1"/>
  <c r="A369" i="15" s="1"/>
  <c r="A370" i="15" s="1"/>
  <c r="A371" i="15" s="1"/>
  <c r="A372" i="15" s="1"/>
  <c r="A373" i="15" s="1"/>
  <c r="A374" i="15" s="1"/>
  <c r="A375" i="15" s="1"/>
  <c r="A376" i="15" s="1"/>
  <c r="A377" i="15" s="1"/>
  <c r="A378" i="15" s="1"/>
  <c r="A379" i="15" s="1"/>
  <c r="A380" i="15" s="1"/>
  <c r="A381" i="15" s="1"/>
  <c r="A382" i="15" s="1"/>
  <c r="A383" i="15" s="1"/>
  <c r="A384" i="15" s="1"/>
  <c r="A385" i="15" s="1"/>
  <c r="A386" i="15" s="1"/>
  <c r="A387" i="15" s="1"/>
  <c r="A388" i="15" s="1"/>
  <c r="A389" i="15" s="1"/>
  <c r="A390" i="15" s="1"/>
  <c r="A391" i="15" s="1"/>
  <c r="A392" i="15" s="1"/>
  <c r="A393" i="15" s="1"/>
  <c r="A394" i="15" s="1"/>
  <c r="A395" i="15" s="1"/>
  <c r="A396" i="15" s="1"/>
  <c r="A397" i="15" s="1"/>
  <c r="A403" i="15" s="1"/>
  <c r="A404" i="15" s="1"/>
  <c r="A405" i="15" s="1"/>
  <c r="A406" i="15" s="1"/>
  <c r="A407" i="15" s="1"/>
  <c r="A408" i="15" s="1"/>
  <c r="A409" i="15" s="1"/>
  <c r="A410" i="15" s="1"/>
  <c r="A411" i="15" s="1"/>
  <c r="A412" i="15" s="1"/>
  <c r="A413" i="15" s="1"/>
  <c r="A414" i="15" s="1"/>
  <c r="A415" i="15" s="1"/>
  <c r="A416" i="15" s="1"/>
  <c r="A417" i="15" s="1"/>
  <c r="A418" i="15" s="1"/>
  <c r="A419" i="15" s="1"/>
  <c r="A420" i="15" s="1"/>
  <c r="A426" i="15" s="1"/>
  <c r="A427" i="15" s="1"/>
  <c r="A428" i="15" s="1"/>
  <c r="A429" i="15" s="1"/>
  <c r="A430" i="15" s="1"/>
  <c r="A431" i="15" s="1"/>
  <c r="A432" i="15" s="1"/>
  <c r="A433" i="15" s="1"/>
  <c r="A434" i="15" s="1"/>
  <c r="A435" i="15" s="1"/>
  <c r="A436" i="15" s="1"/>
  <c r="A437" i="15" s="1"/>
  <c r="A438" i="15" s="1"/>
  <c r="A439" i="15" s="1"/>
  <c r="A445" i="15" s="1"/>
  <c r="A446" i="15" s="1"/>
  <c r="A447" i="15" s="1"/>
  <c r="A448" i="15" s="1"/>
  <c r="A449" i="15" s="1"/>
  <c r="A450" i="15" s="1"/>
  <c r="A451" i="15" s="1"/>
  <c r="A452" i="15" s="1"/>
  <c r="A453" i="15" s="1"/>
  <c r="A454" i="15" s="1"/>
  <c r="A455" i="15" s="1"/>
  <c r="A456" i="15" s="1"/>
  <c r="A457" i="15" s="1"/>
  <c r="A458" i="15" s="1"/>
  <c r="A464" i="15" s="1"/>
  <c r="A465" i="15" s="1"/>
  <c r="A466" i="15" s="1"/>
  <c r="A467" i="15" s="1"/>
  <c r="A468" i="15" s="1"/>
  <c r="A469" i="15" s="1"/>
  <c r="A470" i="15" s="1"/>
  <c r="A471" i="15" s="1"/>
  <c r="A472" i="15" s="1"/>
  <c r="A511" i="15" s="1"/>
  <c r="A512" i="15" s="1"/>
  <c r="A513" i="15" s="1"/>
  <c r="A514" i="15" s="1"/>
  <c r="A515" i="15" s="1"/>
  <c r="A516" i="15" s="1"/>
  <c r="A517" i="15" s="1"/>
  <c r="A518" i="15" s="1"/>
  <c r="A519" i="15" s="1"/>
  <c r="A520" i="15" s="1"/>
  <c r="A521" i="15" s="1"/>
  <c r="A522" i="15" s="1"/>
  <c r="A523" i="15" s="1"/>
  <c r="A524" i="15" s="1"/>
  <c r="A525" i="15" s="1"/>
  <c r="A526" i="15" s="1"/>
  <c r="A529" i="15" s="1"/>
  <c r="A532" i="15" s="1"/>
  <c r="A539" i="15" s="1"/>
  <c r="A206" i="15"/>
  <c r="A207" i="15" s="1"/>
  <c r="A208" i="15" s="1"/>
  <c r="A209" i="15" s="1"/>
  <c r="A210" i="15" s="1"/>
  <c r="A211" i="15" s="1"/>
  <c r="A212" i="15" s="1"/>
  <c r="A213" i="15" s="1"/>
  <c r="A214" i="15" s="1"/>
  <c r="A215" i="15" s="1"/>
  <c r="A216" i="15" s="1"/>
  <c r="A217" i="15" s="1"/>
  <c r="A218" i="15" s="1"/>
  <c r="A219" i="15" s="1"/>
  <c r="A220" i="15" s="1"/>
  <c r="A221" i="15" s="1"/>
  <c r="A222" i="15" s="1"/>
  <c r="A228" i="15" s="1"/>
  <c r="A229" i="15" s="1"/>
  <c r="A230" i="15" s="1"/>
  <c r="A231" i="15" s="1"/>
  <c r="A232" i="15" s="1"/>
  <c r="A233" i="15" s="1"/>
  <c r="A234" i="15" s="1"/>
  <c r="A235" i="15" s="1"/>
  <c r="A236" i="15" s="1"/>
  <c r="A237" i="15" s="1"/>
  <c r="A238" i="15" s="1"/>
  <c r="A239" i="15" s="1"/>
  <c r="A240" i="15" s="1"/>
  <c r="A241" i="15" s="1"/>
  <c r="A242" i="15" s="1"/>
  <c r="F220" i="15"/>
  <c r="F222" i="15" s="1"/>
  <c r="E517" i="15" s="1"/>
  <c r="H471" i="15"/>
  <c r="H472" i="15" s="1"/>
  <c r="G526" i="15" s="1"/>
  <c r="H221" i="15"/>
  <c r="H222" i="15" s="1"/>
  <c r="G517" i="15" s="1"/>
  <c r="H457" i="15"/>
  <c r="H458" i="15"/>
  <c r="G525" i="15" s="1"/>
  <c r="F99" i="15"/>
  <c r="F101" i="15"/>
  <c r="E512" i="15" s="1"/>
  <c r="F394" i="15"/>
  <c r="H438" i="15"/>
  <c r="H439" i="15" s="1"/>
  <c r="G524" i="15" s="1"/>
  <c r="H417" i="15"/>
  <c r="F456" i="15"/>
  <c r="F458" i="15" s="1"/>
  <c r="E525" i="15" s="1"/>
  <c r="H397" i="14"/>
  <c r="H398" i="14"/>
  <c r="G500" i="14" s="1"/>
  <c r="H134" i="14"/>
  <c r="G491" i="14" s="1"/>
  <c r="H133" i="14"/>
  <c r="H270" i="14"/>
  <c r="H271" i="14" s="1"/>
  <c r="G497" i="14" s="1"/>
  <c r="F396" i="14"/>
  <c r="F398" i="14"/>
  <c r="E500" i="14" s="1"/>
  <c r="F242" i="14"/>
  <c r="E496" i="14" s="1"/>
  <c r="F240" i="14"/>
  <c r="F299" i="14"/>
  <c r="F301" i="14" s="1"/>
  <c r="E498" i="14" s="1"/>
  <c r="F438" i="14"/>
  <c r="F440" i="14" s="1"/>
  <c r="E502" i="14" s="1"/>
  <c r="H420" i="14"/>
  <c r="H421" i="14" s="1"/>
  <c r="G501" i="14" s="1"/>
  <c r="H241" i="14"/>
  <c r="H242" i="14" s="1"/>
  <c r="G496" i="14" s="1"/>
  <c r="H439" i="14"/>
  <c r="H440" i="14"/>
  <c r="G502" i="14" s="1"/>
  <c r="F364" i="14"/>
  <c r="E499" i="14" s="1"/>
  <c r="F362" i="14"/>
  <c r="F77" i="14"/>
  <c r="E489" i="14" s="1"/>
  <c r="F75" i="14"/>
  <c r="F269" i="14"/>
  <c r="F271" i="14" s="1"/>
  <c r="E497" i="14" s="1"/>
  <c r="F176" i="14"/>
  <c r="F178" i="14" s="1"/>
  <c r="E493" i="14" s="1"/>
  <c r="F200" i="14"/>
  <c r="E494" i="14" s="1"/>
  <c r="F198" i="14"/>
  <c r="H101" i="14"/>
  <c r="H102" i="14" s="1"/>
  <c r="G490" i="14" s="1"/>
  <c r="F134" i="14"/>
  <c r="E491" i="14" s="1"/>
  <c r="F132" i="14"/>
  <c r="H177" i="14"/>
  <c r="H178" i="14" s="1"/>
  <c r="G493" i="14" s="1"/>
  <c r="H221" i="14"/>
  <c r="H222" i="14"/>
  <c r="G495" i="14" s="1"/>
  <c r="F421" i="14"/>
  <c r="E501" i="14" s="1"/>
  <c r="F419" i="14"/>
  <c r="F102" i="14"/>
  <c r="E490" i="14" s="1"/>
  <c r="F100" i="14"/>
  <c r="H199" i="14"/>
  <c r="H200" i="14"/>
  <c r="G494" i="14" s="1"/>
  <c r="H363" i="14"/>
  <c r="H364" i="14" s="1"/>
  <c r="G499" i="14" s="1"/>
  <c r="F459" i="14"/>
  <c r="E503" i="14" s="1"/>
  <c r="F457" i="14"/>
  <c r="H76" i="14"/>
  <c r="H77" i="14" s="1"/>
  <c r="G489" i="14" s="1"/>
  <c r="G507" i="14" s="1"/>
  <c r="F155" i="14"/>
  <c r="F157" i="14" s="1"/>
  <c r="E492" i="14" s="1"/>
  <c r="H472" i="14"/>
  <c r="H473" i="14" s="1"/>
  <c r="G504" i="14" s="1"/>
  <c r="H362" i="15" l="1"/>
  <c r="H363" i="15" s="1"/>
  <c r="G521" i="15" s="1"/>
  <c r="H419" i="15"/>
  <c r="H420" i="15" s="1"/>
  <c r="G523" i="15" s="1"/>
  <c r="H297" i="15"/>
  <c r="H298" i="15" s="1"/>
  <c r="G520" i="15" s="1"/>
  <c r="F395" i="15"/>
  <c r="F397" i="15"/>
  <c r="E522" i="15" s="1"/>
  <c r="E529" i="15" s="1"/>
  <c r="E507" i="14"/>
  <c r="E510" i="14" s="1"/>
  <c r="E514" i="14"/>
  <c r="G529" i="15" l="1"/>
  <c r="E536" i="15"/>
  <c r="E532" i="15"/>
  <c r="G514" i="14"/>
  <c r="B514" i="14" s="1"/>
  <c r="E517" i="14" s="1"/>
  <c r="G536" i="15" l="1"/>
  <c r="B536" i="15" s="1"/>
  <c r="E539" i="15" s="1"/>
  <c r="E109" i="11" l="1"/>
  <c r="J89" i="11"/>
  <c r="F91" i="11"/>
  <c r="F116" i="11"/>
  <c r="J115" i="11"/>
  <c r="J116" i="11"/>
  <c r="J35" i="11"/>
  <c r="J36" i="11"/>
  <c r="J37" i="11"/>
  <c r="E85" i="11"/>
  <c r="E87" i="11"/>
  <c r="F89" i="11"/>
  <c r="E111" i="11"/>
  <c r="F113" i="11"/>
  <c r="J121" i="11"/>
  <c r="BE121" i="11" s="1"/>
  <c r="P121" i="11"/>
  <c r="R121" i="11"/>
  <c r="T121" i="11"/>
  <c r="BF121" i="11"/>
  <c r="J34" i="11" s="1"/>
  <c r="BG121" i="11"/>
  <c r="F35" i="11" s="1"/>
  <c r="BH121" i="11"/>
  <c r="F36" i="11" s="1"/>
  <c r="BI121" i="11"/>
  <c r="F37" i="11" s="1"/>
  <c r="BK121" i="11"/>
  <c r="J123" i="11"/>
  <c r="P123" i="11"/>
  <c r="R123" i="11"/>
  <c r="T123" i="11"/>
  <c r="BE123" i="11"/>
  <c r="BF123" i="11"/>
  <c r="BG123" i="11"/>
  <c r="BH123" i="11"/>
  <c r="BI123" i="11"/>
  <c r="BK123" i="11"/>
  <c r="J126" i="11"/>
  <c r="BE126" i="11" s="1"/>
  <c r="P126" i="11"/>
  <c r="R126" i="11"/>
  <c r="T126" i="11"/>
  <c r="BF126" i="11"/>
  <c r="BG126" i="11"/>
  <c r="BH126" i="11"/>
  <c r="BI126" i="11"/>
  <c r="BK126" i="11"/>
  <c r="J128" i="11"/>
  <c r="BE128" i="11" s="1"/>
  <c r="P128" i="11"/>
  <c r="R128" i="11"/>
  <c r="T128" i="11"/>
  <c r="BF128" i="11"/>
  <c r="BG128" i="11"/>
  <c r="BH128" i="11"/>
  <c r="BI128" i="11"/>
  <c r="BK128" i="11"/>
  <c r="J133" i="11"/>
  <c r="P133" i="11"/>
  <c r="R133" i="11"/>
  <c r="T133" i="11"/>
  <c r="BE133" i="11"/>
  <c r="BF133" i="11"/>
  <c r="BG133" i="11"/>
  <c r="BH133" i="11"/>
  <c r="BI133" i="11"/>
  <c r="BK133" i="11"/>
  <c r="J135" i="11"/>
  <c r="BE135" i="11" s="1"/>
  <c r="P135" i="11"/>
  <c r="R135" i="11"/>
  <c r="T135" i="11"/>
  <c r="BF135" i="11"/>
  <c r="BG135" i="11"/>
  <c r="BH135" i="11"/>
  <c r="BI135" i="11"/>
  <c r="BK135" i="11"/>
  <c r="J137" i="11"/>
  <c r="BE137" i="11" s="1"/>
  <c r="P137" i="11"/>
  <c r="R137" i="11"/>
  <c r="T137" i="11"/>
  <c r="BF137" i="11"/>
  <c r="BG137" i="11"/>
  <c r="BH137" i="11"/>
  <c r="BI137" i="11"/>
  <c r="BK137" i="11"/>
  <c r="J142" i="11"/>
  <c r="P142" i="11"/>
  <c r="R142" i="11"/>
  <c r="T142" i="11"/>
  <c r="BE142" i="11"/>
  <c r="BF142" i="11"/>
  <c r="BG142" i="11"/>
  <c r="BH142" i="11"/>
  <c r="BI142" i="11"/>
  <c r="BK142" i="11"/>
  <c r="J144" i="11"/>
  <c r="BE144" i="11" s="1"/>
  <c r="P144" i="11"/>
  <c r="P143" i="11" s="1"/>
  <c r="P120" i="11" s="1"/>
  <c r="P119" i="11" s="1"/>
  <c r="R144" i="11"/>
  <c r="T144" i="11"/>
  <c r="BF144" i="11"/>
  <c r="BG144" i="11"/>
  <c r="BH144" i="11"/>
  <c r="BI144" i="11"/>
  <c r="BK144" i="11"/>
  <c r="J146" i="11"/>
  <c r="BE146" i="11" s="1"/>
  <c r="P146" i="11"/>
  <c r="R146" i="11"/>
  <c r="R143" i="11" s="1"/>
  <c r="T146" i="11"/>
  <c r="T143" i="11" s="1"/>
  <c r="BF146" i="11"/>
  <c r="BG146" i="11"/>
  <c r="BH146" i="11"/>
  <c r="BI146" i="11"/>
  <c r="BK146" i="11"/>
  <c r="BK143" i="11" s="1"/>
  <c r="J143" i="11" s="1"/>
  <c r="J98" i="11" s="1"/>
  <c r="J147" i="11"/>
  <c r="P147" i="11"/>
  <c r="R147" i="11"/>
  <c r="T147" i="11"/>
  <c r="BE147" i="11"/>
  <c r="BF147" i="11"/>
  <c r="BG147" i="11"/>
  <c r="BH147" i="11"/>
  <c r="BI147" i="11"/>
  <c r="BK147" i="11"/>
  <c r="P148" i="11"/>
  <c r="J149" i="11"/>
  <c r="BE149" i="11" s="1"/>
  <c r="P149" i="11"/>
  <c r="R149" i="11"/>
  <c r="R148" i="11" s="1"/>
  <c r="T149" i="11"/>
  <c r="BF149" i="11"/>
  <c r="BG149" i="11"/>
  <c r="BH149" i="11"/>
  <c r="BI149" i="11"/>
  <c r="BK149" i="11"/>
  <c r="J150" i="11"/>
  <c r="P150" i="11"/>
  <c r="R150" i="11"/>
  <c r="T150" i="11"/>
  <c r="T148" i="11" s="1"/>
  <c r="BE150" i="11"/>
  <c r="BF150" i="11"/>
  <c r="BG150" i="11"/>
  <c r="BH150" i="11"/>
  <c r="BI150" i="11"/>
  <c r="BK150" i="11"/>
  <c r="BK148" i="11" s="1"/>
  <c r="J148" i="11" s="1"/>
  <c r="J99" i="11" s="1"/>
  <c r="J152" i="11"/>
  <c r="BE152" i="11" s="1"/>
  <c r="P152" i="11"/>
  <c r="R152" i="11"/>
  <c r="T152" i="11"/>
  <c r="BF152" i="11"/>
  <c r="BG152" i="11"/>
  <c r="BH152" i="11"/>
  <c r="BI152" i="11"/>
  <c r="BK152" i="11"/>
  <c r="J153" i="11"/>
  <c r="BE153" i="11" s="1"/>
  <c r="P153" i="11"/>
  <c r="R153" i="11"/>
  <c r="T153" i="11"/>
  <c r="BF153" i="11"/>
  <c r="BG153" i="11"/>
  <c r="BH153" i="11"/>
  <c r="BI153" i="11"/>
  <c r="BK153" i="11"/>
  <c r="J154" i="11"/>
  <c r="P154" i="11"/>
  <c r="R154" i="11"/>
  <c r="T154" i="11"/>
  <c r="BE154" i="11"/>
  <c r="BF154" i="11"/>
  <c r="BG154" i="11"/>
  <c r="BH154" i="11"/>
  <c r="BI154" i="11"/>
  <c r="BK154" i="11"/>
  <c r="J155" i="11"/>
  <c r="BE155" i="11" s="1"/>
  <c r="P155" i="11"/>
  <c r="R155" i="11"/>
  <c r="T155" i="11"/>
  <c r="BF155" i="11"/>
  <c r="BG155" i="11"/>
  <c r="BH155" i="11"/>
  <c r="BI155" i="11"/>
  <c r="BK155" i="11"/>
  <c r="J156" i="11"/>
  <c r="BE156" i="11" s="1"/>
  <c r="P156" i="11"/>
  <c r="R156" i="11"/>
  <c r="T156" i="11"/>
  <c r="BF156" i="11"/>
  <c r="BG156" i="11"/>
  <c r="BH156" i="11"/>
  <c r="BI156" i="11"/>
  <c r="BK156" i="11"/>
  <c r="J157" i="11"/>
  <c r="P157" i="11"/>
  <c r="R157" i="11"/>
  <c r="T157" i="11"/>
  <c r="BE157" i="11"/>
  <c r="BF157" i="11"/>
  <c r="BG157" i="11"/>
  <c r="BH157" i="11"/>
  <c r="BI157" i="11"/>
  <c r="BK157" i="11"/>
  <c r="J158" i="11"/>
  <c r="BE158" i="11" s="1"/>
  <c r="P158" i="11"/>
  <c r="R158" i="11"/>
  <c r="T158" i="11"/>
  <c r="BF158" i="11"/>
  <c r="BG158" i="11"/>
  <c r="BH158" i="11"/>
  <c r="BI158" i="11"/>
  <c r="BK158" i="11"/>
  <c r="J159" i="11"/>
  <c r="BE159" i="11" s="1"/>
  <c r="P159" i="11"/>
  <c r="R159" i="11"/>
  <c r="T159" i="11"/>
  <c r="BF159" i="11"/>
  <c r="BG159" i="11"/>
  <c r="BH159" i="11"/>
  <c r="BI159" i="11"/>
  <c r="BK159" i="11"/>
  <c r="J160" i="11"/>
  <c r="P160" i="11"/>
  <c r="R160" i="11"/>
  <c r="T160" i="11"/>
  <c r="BE160" i="11"/>
  <c r="BF160" i="11"/>
  <c r="BG160" i="11"/>
  <c r="BH160" i="11"/>
  <c r="BI160" i="11"/>
  <c r="BK160" i="11"/>
  <c r="J161" i="11"/>
  <c r="BE161" i="11" s="1"/>
  <c r="P161" i="11"/>
  <c r="R161" i="11"/>
  <c r="T161" i="11"/>
  <c r="BF161" i="11"/>
  <c r="BG161" i="11"/>
  <c r="BH161" i="11"/>
  <c r="BI161" i="11"/>
  <c r="BK161" i="11"/>
  <c r="E118" i="10"/>
  <c r="J89" i="10"/>
  <c r="F91" i="10"/>
  <c r="F125" i="10"/>
  <c r="J91" i="10"/>
  <c r="J125" i="10"/>
  <c r="J35" i="10"/>
  <c r="J36" i="10"/>
  <c r="J37" i="10"/>
  <c r="E87" i="10"/>
  <c r="F89" i="10"/>
  <c r="J108" i="10"/>
  <c r="E120" i="10"/>
  <c r="F122" i="10"/>
  <c r="J130" i="10"/>
  <c r="P130" i="10"/>
  <c r="R130" i="10"/>
  <c r="T130" i="10"/>
  <c r="BE130" i="10"/>
  <c r="F33" i="10" s="1"/>
  <c r="BF130" i="10"/>
  <c r="BG130" i="10"/>
  <c r="BH130" i="10"/>
  <c r="BI130" i="10"/>
  <c r="F37" i="10" s="1"/>
  <c r="BK130" i="10"/>
  <c r="J134" i="10"/>
  <c r="BF134" i="10" s="1"/>
  <c r="P134" i="10"/>
  <c r="P129" i="10" s="1"/>
  <c r="R134" i="10"/>
  <c r="T134" i="10"/>
  <c r="BE134" i="10"/>
  <c r="BG134" i="10"/>
  <c r="F35" i="10" s="1"/>
  <c r="BH134" i="10"/>
  <c r="F36" i="10" s="1"/>
  <c r="BI134" i="10"/>
  <c r="BK134" i="10"/>
  <c r="J137" i="10"/>
  <c r="BF137" i="10" s="1"/>
  <c r="P137" i="10"/>
  <c r="R137" i="10"/>
  <c r="T137" i="10"/>
  <c r="T129" i="10" s="1"/>
  <c r="BE137" i="10"/>
  <c r="BG137" i="10"/>
  <c r="BH137" i="10"/>
  <c r="BI137" i="10"/>
  <c r="BK137" i="10"/>
  <c r="J139" i="10"/>
  <c r="P139" i="10"/>
  <c r="R139" i="10"/>
  <c r="T139" i="10"/>
  <c r="BE139" i="10"/>
  <c r="BF139" i="10"/>
  <c r="BG139" i="10"/>
  <c r="BH139" i="10"/>
  <c r="BI139" i="10"/>
  <c r="BK139" i="10"/>
  <c r="J144" i="10"/>
  <c r="BF144" i="10" s="1"/>
  <c r="P144" i="10"/>
  <c r="R144" i="10"/>
  <c r="T144" i="10"/>
  <c r="BE144" i="10"/>
  <c r="BG144" i="10"/>
  <c r="BH144" i="10"/>
  <c r="BI144" i="10"/>
  <c r="BK144" i="10"/>
  <c r="J146" i="10"/>
  <c r="BF146" i="10" s="1"/>
  <c r="P146" i="10"/>
  <c r="R146" i="10"/>
  <c r="T146" i="10"/>
  <c r="BE146" i="10"/>
  <c r="BG146" i="10"/>
  <c r="BH146" i="10"/>
  <c r="BI146" i="10"/>
  <c r="BK146" i="10"/>
  <c r="J148" i="10"/>
  <c r="P148" i="10"/>
  <c r="R148" i="10"/>
  <c r="T148" i="10"/>
  <c r="BE148" i="10"/>
  <c r="BF148" i="10"/>
  <c r="BG148" i="10"/>
  <c r="BH148" i="10"/>
  <c r="BI148" i="10"/>
  <c r="BK148" i="10"/>
  <c r="P153" i="10"/>
  <c r="J154" i="10"/>
  <c r="BF154" i="10" s="1"/>
  <c r="P154" i="10"/>
  <c r="R154" i="10"/>
  <c r="R153" i="10" s="1"/>
  <c r="T154" i="10"/>
  <c r="BE154" i="10"/>
  <c r="BG154" i="10"/>
  <c r="BH154" i="10"/>
  <c r="BI154" i="10"/>
  <c r="BK154" i="10"/>
  <c r="J156" i="10"/>
  <c r="BF156" i="10" s="1"/>
  <c r="P156" i="10"/>
  <c r="R156" i="10"/>
  <c r="T156" i="10"/>
  <c r="T153" i="10" s="1"/>
  <c r="BE156" i="10"/>
  <c r="J33" i="10" s="1"/>
  <c r="BG156" i="10"/>
  <c r="BH156" i="10"/>
  <c r="BI156" i="10"/>
  <c r="BK156" i="10"/>
  <c r="BK153" i="10" s="1"/>
  <c r="J153" i="10" s="1"/>
  <c r="J98" i="10" s="1"/>
  <c r="J157" i="10"/>
  <c r="J99" i="10" s="1"/>
  <c r="R157" i="10"/>
  <c r="T157" i="10"/>
  <c r="BK157" i="10"/>
  <c r="J158" i="10"/>
  <c r="BF158" i="10" s="1"/>
  <c r="P158" i="10"/>
  <c r="P157" i="10" s="1"/>
  <c r="R158" i="10"/>
  <c r="T158" i="10"/>
  <c r="BE158" i="10"/>
  <c r="BG158" i="10"/>
  <c r="BH158" i="10"/>
  <c r="BI158" i="10"/>
  <c r="BK158" i="10"/>
  <c r="T159" i="10"/>
  <c r="J160" i="10"/>
  <c r="BF160" i="10" s="1"/>
  <c r="P160" i="10"/>
  <c r="R160" i="10"/>
  <c r="T160" i="10"/>
  <c r="BE160" i="10"/>
  <c r="BG160" i="10"/>
  <c r="BH160" i="10"/>
  <c r="BI160" i="10"/>
  <c r="BK160" i="10"/>
  <c r="BK159" i="10" s="1"/>
  <c r="J159" i="10" s="1"/>
  <c r="J100" i="10" s="1"/>
  <c r="J161" i="10"/>
  <c r="BF161" i="10" s="1"/>
  <c r="P161" i="10"/>
  <c r="R161" i="10"/>
  <c r="T161" i="10"/>
  <c r="BE161" i="10"/>
  <c r="BG161" i="10"/>
  <c r="BH161" i="10"/>
  <c r="BI161" i="10"/>
  <c r="BK161" i="10"/>
  <c r="J162" i="10"/>
  <c r="BF162" i="10" s="1"/>
  <c r="P162" i="10"/>
  <c r="P159" i="10" s="1"/>
  <c r="R162" i="10"/>
  <c r="R159" i="10" s="1"/>
  <c r="T162" i="10"/>
  <c r="BE162" i="10"/>
  <c r="BG162" i="10"/>
  <c r="BH162" i="10"/>
  <c r="BI162" i="10"/>
  <c r="BK162" i="10"/>
  <c r="J163" i="10"/>
  <c r="BF163" i="10" s="1"/>
  <c r="P163" i="10"/>
  <c r="R163" i="10"/>
  <c r="T163" i="10"/>
  <c r="BE163" i="10"/>
  <c r="BG163" i="10"/>
  <c r="BH163" i="10"/>
  <c r="BI163" i="10"/>
  <c r="BK163" i="10"/>
  <c r="J164" i="10"/>
  <c r="BF164" i="10" s="1"/>
  <c r="P164" i="10"/>
  <c r="R164" i="10"/>
  <c r="T164" i="10"/>
  <c r="BE164" i="10"/>
  <c r="BG164" i="10"/>
  <c r="BH164" i="10"/>
  <c r="BI164" i="10"/>
  <c r="BK164" i="10"/>
  <c r="J165" i="10"/>
  <c r="BF165" i="10" s="1"/>
  <c r="P165" i="10"/>
  <c r="R165" i="10"/>
  <c r="T165" i="10"/>
  <c r="BE165" i="10"/>
  <c r="BG165" i="10"/>
  <c r="BH165" i="10"/>
  <c r="BI165" i="10"/>
  <c r="BK165" i="10"/>
  <c r="J166" i="10"/>
  <c r="BF166" i="10" s="1"/>
  <c r="P166" i="10"/>
  <c r="R166" i="10"/>
  <c r="T166" i="10"/>
  <c r="BE166" i="10"/>
  <c r="BG166" i="10"/>
  <c r="BH166" i="10"/>
  <c r="BI166" i="10"/>
  <c r="BK166" i="10"/>
  <c r="J167" i="10"/>
  <c r="BF167" i="10" s="1"/>
  <c r="P167" i="10"/>
  <c r="R167" i="10"/>
  <c r="T167" i="10"/>
  <c r="BE167" i="10"/>
  <c r="BG167" i="10"/>
  <c r="BH167" i="10"/>
  <c r="BI167" i="10"/>
  <c r="BK167" i="10"/>
  <c r="J168" i="10"/>
  <c r="BF168" i="10" s="1"/>
  <c r="P168" i="10"/>
  <c r="R168" i="10"/>
  <c r="T168" i="10"/>
  <c r="BE168" i="10"/>
  <c r="BG168" i="10"/>
  <c r="BH168" i="10"/>
  <c r="BI168" i="10"/>
  <c r="BK168" i="10"/>
  <c r="J169" i="10"/>
  <c r="BF169" i="10" s="1"/>
  <c r="P169" i="10"/>
  <c r="R169" i="10"/>
  <c r="T169" i="10"/>
  <c r="BE169" i="10"/>
  <c r="BG169" i="10"/>
  <c r="BH169" i="10"/>
  <c r="BI169" i="10"/>
  <c r="BK169" i="10"/>
  <c r="P171" i="10"/>
  <c r="J172" i="10"/>
  <c r="BF172" i="10" s="1"/>
  <c r="P172" i="10"/>
  <c r="R172" i="10"/>
  <c r="R171" i="10" s="1"/>
  <c r="T172" i="10"/>
  <c r="BE172" i="10"/>
  <c r="BG172" i="10"/>
  <c r="BH172" i="10"/>
  <c r="BI172" i="10"/>
  <c r="BK172" i="10"/>
  <c r="J173" i="10"/>
  <c r="BF173" i="10" s="1"/>
  <c r="P173" i="10"/>
  <c r="R173" i="10"/>
  <c r="T173" i="10"/>
  <c r="T171" i="10" s="1"/>
  <c r="BE173" i="10"/>
  <c r="BG173" i="10"/>
  <c r="BH173" i="10"/>
  <c r="BI173" i="10"/>
  <c r="BK173" i="10"/>
  <c r="BK171" i="10" s="1"/>
  <c r="J174" i="10"/>
  <c r="BF174" i="10" s="1"/>
  <c r="P174" i="10"/>
  <c r="R174" i="10"/>
  <c r="T174" i="10"/>
  <c r="BE174" i="10"/>
  <c r="BG174" i="10"/>
  <c r="BH174" i="10"/>
  <c r="BI174" i="10"/>
  <c r="BK174" i="10"/>
  <c r="J175" i="10"/>
  <c r="BF175" i="10" s="1"/>
  <c r="P175" i="10"/>
  <c r="R175" i="10"/>
  <c r="T175" i="10"/>
  <c r="BE175" i="10"/>
  <c r="BG175" i="10"/>
  <c r="BH175" i="10"/>
  <c r="BI175" i="10"/>
  <c r="BK175" i="10"/>
  <c r="J176" i="10"/>
  <c r="BF176" i="10" s="1"/>
  <c r="P176" i="10"/>
  <c r="R176" i="10"/>
  <c r="T176" i="10"/>
  <c r="BE176" i="10"/>
  <c r="BG176" i="10"/>
  <c r="BH176" i="10"/>
  <c r="BI176" i="10"/>
  <c r="BK176" i="10"/>
  <c r="J177" i="10"/>
  <c r="BF177" i="10" s="1"/>
  <c r="P177" i="10"/>
  <c r="R177" i="10"/>
  <c r="T177" i="10"/>
  <c r="BE177" i="10"/>
  <c r="BG177" i="10"/>
  <c r="BH177" i="10"/>
  <c r="BI177" i="10"/>
  <c r="BK177" i="10"/>
  <c r="J178" i="10"/>
  <c r="P178" i="10"/>
  <c r="R178" i="10"/>
  <c r="T178" i="10"/>
  <c r="BE178" i="10"/>
  <c r="BF178" i="10"/>
  <c r="BG178" i="10"/>
  <c r="BH178" i="10"/>
  <c r="BI178" i="10"/>
  <c r="BK178" i="10"/>
  <c r="J179" i="10"/>
  <c r="BF179" i="10" s="1"/>
  <c r="P179" i="10"/>
  <c r="R179" i="10"/>
  <c r="T179" i="10"/>
  <c r="BE179" i="10"/>
  <c r="BG179" i="10"/>
  <c r="BH179" i="10"/>
  <c r="BI179" i="10"/>
  <c r="BK179" i="10"/>
  <c r="J180" i="10"/>
  <c r="BF180" i="10" s="1"/>
  <c r="P180" i="10"/>
  <c r="R180" i="10"/>
  <c r="T180" i="10"/>
  <c r="BE180" i="10"/>
  <c r="BG180" i="10"/>
  <c r="BH180" i="10"/>
  <c r="BI180" i="10"/>
  <c r="BK180" i="10"/>
  <c r="J181" i="10"/>
  <c r="P181" i="10"/>
  <c r="R181" i="10"/>
  <c r="T181" i="10"/>
  <c r="BE181" i="10"/>
  <c r="BF181" i="10"/>
  <c r="BG181" i="10"/>
  <c r="BH181" i="10"/>
  <c r="BI181" i="10"/>
  <c r="BK181" i="10"/>
  <c r="J182" i="10"/>
  <c r="BF182" i="10" s="1"/>
  <c r="P182" i="10"/>
  <c r="R182" i="10"/>
  <c r="T182" i="10"/>
  <c r="BE182" i="10"/>
  <c r="BG182" i="10"/>
  <c r="BH182" i="10"/>
  <c r="BI182" i="10"/>
  <c r="BK182" i="10"/>
  <c r="J183" i="10"/>
  <c r="BF183" i="10" s="1"/>
  <c r="P183" i="10"/>
  <c r="R183" i="10"/>
  <c r="T183" i="10"/>
  <c r="BE183" i="10"/>
  <c r="BG183" i="10"/>
  <c r="BH183" i="10"/>
  <c r="BI183" i="10"/>
  <c r="BK183" i="10"/>
  <c r="J184" i="10"/>
  <c r="P184" i="10"/>
  <c r="R184" i="10"/>
  <c r="T184" i="10"/>
  <c r="BE184" i="10"/>
  <c r="BF184" i="10"/>
  <c r="BG184" i="10"/>
  <c r="BH184" i="10"/>
  <c r="BI184" i="10"/>
  <c r="BK184" i="10"/>
  <c r="J185" i="10"/>
  <c r="BF185" i="10" s="1"/>
  <c r="P185" i="10"/>
  <c r="R185" i="10"/>
  <c r="T185" i="10"/>
  <c r="BE185" i="10"/>
  <c r="BG185" i="10"/>
  <c r="BH185" i="10"/>
  <c r="BI185" i="10"/>
  <c r="BK185" i="10"/>
  <c r="J186" i="10"/>
  <c r="BF186" i="10" s="1"/>
  <c r="P186" i="10"/>
  <c r="R186" i="10"/>
  <c r="T186" i="10"/>
  <c r="BE186" i="10"/>
  <c r="BG186" i="10"/>
  <c r="BH186" i="10"/>
  <c r="BI186" i="10"/>
  <c r="BK186" i="10"/>
  <c r="J187" i="10"/>
  <c r="P187" i="10"/>
  <c r="R187" i="10"/>
  <c r="T187" i="10"/>
  <c r="BE187" i="10"/>
  <c r="BF187" i="10"/>
  <c r="BG187" i="10"/>
  <c r="BH187" i="10"/>
  <c r="BI187" i="10"/>
  <c r="BK187" i="10"/>
  <c r="J188" i="10"/>
  <c r="BF188" i="10" s="1"/>
  <c r="P188" i="10"/>
  <c r="R188" i="10"/>
  <c r="T188" i="10"/>
  <c r="BE188" i="10"/>
  <c r="BG188" i="10"/>
  <c r="BH188" i="10"/>
  <c r="BI188" i="10"/>
  <c r="BK188" i="10"/>
  <c r="J189" i="10"/>
  <c r="BF189" i="10" s="1"/>
  <c r="P189" i="10"/>
  <c r="R189" i="10"/>
  <c r="T189" i="10"/>
  <c r="BE189" i="10"/>
  <c r="BG189" i="10"/>
  <c r="BH189" i="10"/>
  <c r="BI189" i="10"/>
  <c r="BK189" i="10"/>
  <c r="J190" i="10"/>
  <c r="P190" i="10"/>
  <c r="R190" i="10"/>
  <c r="T190" i="10"/>
  <c r="BE190" i="10"/>
  <c r="BF190" i="10"/>
  <c r="BG190" i="10"/>
  <c r="BH190" i="10"/>
  <c r="BI190" i="10"/>
  <c r="BK190" i="10"/>
  <c r="J191" i="10"/>
  <c r="BF191" i="10" s="1"/>
  <c r="P191" i="10"/>
  <c r="R191" i="10"/>
  <c r="T191" i="10"/>
  <c r="BE191" i="10"/>
  <c r="BG191" i="10"/>
  <c r="BH191" i="10"/>
  <c r="BI191" i="10"/>
  <c r="BK191" i="10"/>
  <c r="J192" i="10"/>
  <c r="BF192" i="10" s="1"/>
  <c r="P192" i="10"/>
  <c r="R192" i="10"/>
  <c r="T192" i="10"/>
  <c r="BE192" i="10"/>
  <c r="BG192" i="10"/>
  <c r="BH192" i="10"/>
  <c r="BI192" i="10"/>
  <c r="BK192" i="10"/>
  <c r="J193" i="10"/>
  <c r="P193" i="10"/>
  <c r="R193" i="10"/>
  <c r="T193" i="10"/>
  <c r="BE193" i="10"/>
  <c r="BF193" i="10"/>
  <c r="BG193" i="10"/>
  <c r="BH193" i="10"/>
  <c r="BI193" i="10"/>
  <c r="BK193" i="10"/>
  <c r="J194" i="10"/>
  <c r="BF194" i="10" s="1"/>
  <c r="P194" i="10"/>
  <c r="R194" i="10"/>
  <c r="T194" i="10"/>
  <c r="BE194" i="10"/>
  <c r="BG194" i="10"/>
  <c r="BH194" i="10"/>
  <c r="BI194" i="10"/>
  <c r="BK194" i="10"/>
  <c r="J195" i="10"/>
  <c r="BF195" i="10" s="1"/>
  <c r="P195" i="10"/>
  <c r="R195" i="10"/>
  <c r="T195" i="10"/>
  <c r="BE195" i="10"/>
  <c r="BG195" i="10"/>
  <c r="BH195" i="10"/>
  <c r="BI195" i="10"/>
  <c r="BK195" i="10"/>
  <c r="J196" i="10"/>
  <c r="P196" i="10"/>
  <c r="R196" i="10"/>
  <c r="T196" i="10"/>
  <c r="BE196" i="10"/>
  <c r="BF196" i="10"/>
  <c r="BG196" i="10"/>
  <c r="BH196" i="10"/>
  <c r="BI196" i="10"/>
  <c r="BK196" i="10"/>
  <c r="J197" i="10"/>
  <c r="BF197" i="10" s="1"/>
  <c r="P197" i="10"/>
  <c r="R197" i="10"/>
  <c r="T197" i="10"/>
  <c r="BE197" i="10"/>
  <c r="BG197" i="10"/>
  <c r="BH197" i="10"/>
  <c r="BI197" i="10"/>
  <c r="BK197" i="10"/>
  <c r="J199" i="10"/>
  <c r="BF199" i="10" s="1"/>
  <c r="P199" i="10"/>
  <c r="P198" i="10" s="1"/>
  <c r="R199" i="10"/>
  <c r="T199" i="10"/>
  <c r="BE199" i="10"/>
  <c r="BG199" i="10"/>
  <c r="BH199" i="10"/>
  <c r="BI199" i="10"/>
  <c r="BK199" i="10"/>
  <c r="J200" i="10"/>
  <c r="BF200" i="10" s="1"/>
  <c r="P200" i="10"/>
  <c r="R200" i="10"/>
  <c r="R198" i="10" s="1"/>
  <c r="T200" i="10"/>
  <c r="T198" i="10" s="1"/>
  <c r="BE200" i="10"/>
  <c r="BG200" i="10"/>
  <c r="BH200" i="10"/>
  <c r="BI200" i="10"/>
  <c r="BK200" i="10"/>
  <c r="BK198" i="10" s="1"/>
  <c r="J198" i="10" s="1"/>
  <c r="J103" i="10" s="1"/>
  <c r="J201" i="10"/>
  <c r="P201" i="10"/>
  <c r="R201" i="10"/>
  <c r="T201" i="10"/>
  <c r="BE201" i="10"/>
  <c r="BF201" i="10"/>
  <c r="BG201" i="10"/>
  <c r="BH201" i="10"/>
  <c r="BI201" i="10"/>
  <c r="BK201" i="10"/>
  <c r="J202" i="10"/>
  <c r="BF202" i="10" s="1"/>
  <c r="P202" i="10"/>
  <c r="R202" i="10"/>
  <c r="T202" i="10"/>
  <c r="BE202" i="10"/>
  <c r="BG202" i="10"/>
  <c r="BH202" i="10"/>
  <c r="BI202" i="10"/>
  <c r="BK202" i="10"/>
  <c r="J203" i="10"/>
  <c r="BF203" i="10" s="1"/>
  <c r="P203" i="10"/>
  <c r="R203" i="10"/>
  <c r="T203" i="10"/>
  <c r="BE203" i="10"/>
  <c r="BG203" i="10"/>
  <c r="BH203" i="10"/>
  <c r="BI203" i="10"/>
  <c r="BK203" i="10"/>
  <c r="J204" i="10"/>
  <c r="P204" i="10"/>
  <c r="R204" i="10"/>
  <c r="T204" i="10"/>
  <c r="BE204" i="10"/>
  <c r="BF204" i="10"/>
  <c r="BG204" i="10"/>
  <c r="BH204" i="10"/>
  <c r="BI204" i="10"/>
  <c r="BK204" i="10"/>
  <c r="J205" i="10"/>
  <c r="BF205" i="10" s="1"/>
  <c r="P205" i="10"/>
  <c r="R205" i="10"/>
  <c r="T205" i="10"/>
  <c r="BE205" i="10"/>
  <c r="BG205" i="10"/>
  <c r="BH205" i="10"/>
  <c r="BI205" i="10"/>
  <c r="BK205" i="10"/>
  <c r="J206" i="10"/>
  <c r="BF206" i="10" s="1"/>
  <c r="P206" i="10"/>
  <c r="R206" i="10"/>
  <c r="T206" i="10"/>
  <c r="BE206" i="10"/>
  <c r="BG206" i="10"/>
  <c r="BH206" i="10"/>
  <c r="BI206" i="10"/>
  <c r="BK206" i="10"/>
  <c r="J207" i="10"/>
  <c r="P207" i="10"/>
  <c r="R207" i="10"/>
  <c r="T207" i="10"/>
  <c r="BE207" i="10"/>
  <c r="BF207" i="10"/>
  <c r="BG207" i="10"/>
  <c r="BH207" i="10"/>
  <c r="BI207" i="10"/>
  <c r="BK207" i="10"/>
  <c r="J208" i="10"/>
  <c r="BF208" i="10" s="1"/>
  <c r="P208" i="10"/>
  <c r="R208" i="10"/>
  <c r="T208" i="10"/>
  <c r="BE208" i="10"/>
  <c r="BG208" i="10"/>
  <c r="BH208" i="10"/>
  <c r="BI208" i="10"/>
  <c r="BK208" i="10"/>
  <c r="J209" i="10"/>
  <c r="BF209" i="10" s="1"/>
  <c r="P209" i="10"/>
  <c r="R209" i="10"/>
  <c r="T209" i="10"/>
  <c r="BE209" i="10"/>
  <c r="BG209" i="10"/>
  <c r="BH209" i="10"/>
  <c r="BI209" i="10"/>
  <c r="BK209" i="10"/>
  <c r="J210" i="10"/>
  <c r="P210" i="10"/>
  <c r="R210" i="10"/>
  <c r="T210" i="10"/>
  <c r="BE210" i="10"/>
  <c r="BF210" i="10"/>
  <c r="BG210" i="10"/>
  <c r="BH210" i="10"/>
  <c r="BI210" i="10"/>
  <c r="BK210" i="10"/>
  <c r="J211" i="10"/>
  <c r="BF211" i="10" s="1"/>
  <c r="P211" i="10"/>
  <c r="R211" i="10"/>
  <c r="T211" i="10"/>
  <c r="BE211" i="10"/>
  <c r="BG211" i="10"/>
  <c r="BH211" i="10"/>
  <c r="BI211" i="10"/>
  <c r="BK211" i="10"/>
  <c r="J212" i="10"/>
  <c r="BF212" i="10" s="1"/>
  <c r="P212" i="10"/>
  <c r="R212" i="10"/>
  <c r="T212" i="10"/>
  <c r="BE212" i="10"/>
  <c r="BG212" i="10"/>
  <c r="BH212" i="10"/>
  <c r="BI212" i="10"/>
  <c r="BK212" i="10"/>
  <c r="J213" i="10"/>
  <c r="P213" i="10"/>
  <c r="R213" i="10"/>
  <c r="T213" i="10"/>
  <c r="BE213" i="10"/>
  <c r="BF213" i="10"/>
  <c r="BG213" i="10"/>
  <c r="BH213" i="10"/>
  <c r="BI213" i="10"/>
  <c r="BK213" i="10"/>
  <c r="J214" i="10"/>
  <c r="BF214" i="10" s="1"/>
  <c r="P214" i="10"/>
  <c r="R214" i="10"/>
  <c r="T214" i="10"/>
  <c r="BE214" i="10"/>
  <c r="BG214" i="10"/>
  <c r="BH214" i="10"/>
  <c r="BI214" i="10"/>
  <c r="BK214" i="10"/>
  <c r="J215" i="10"/>
  <c r="BF215" i="10" s="1"/>
  <c r="P215" i="10"/>
  <c r="R215" i="10"/>
  <c r="T215" i="10"/>
  <c r="BE215" i="10"/>
  <c r="BG215" i="10"/>
  <c r="BH215" i="10"/>
  <c r="BI215" i="10"/>
  <c r="BK215" i="10"/>
  <c r="J216" i="10"/>
  <c r="P216" i="10"/>
  <c r="R216" i="10"/>
  <c r="T216" i="10"/>
  <c r="BE216" i="10"/>
  <c r="BF216" i="10"/>
  <c r="BG216" i="10"/>
  <c r="BH216" i="10"/>
  <c r="BI216" i="10"/>
  <c r="BK216" i="10"/>
  <c r="J217" i="10"/>
  <c r="BF217" i="10" s="1"/>
  <c r="P217" i="10"/>
  <c r="R217" i="10"/>
  <c r="T217" i="10"/>
  <c r="BE217" i="10"/>
  <c r="BG217" i="10"/>
  <c r="BH217" i="10"/>
  <c r="BI217" i="10"/>
  <c r="BK217" i="10"/>
  <c r="J218" i="10"/>
  <c r="BF218" i="10" s="1"/>
  <c r="P218" i="10"/>
  <c r="R218" i="10"/>
  <c r="T218" i="10"/>
  <c r="BE218" i="10"/>
  <c r="BG218" i="10"/>
  <c r="BH218" i="10"/>
  <c r="BI218" i="10"/>
  <c r="BK218" i="10"/>
  <c r="J219" i="10"/>
  <c r="P219" i="10"/>
  <c r="R219" i="10"/>
  <c r="T219" i="10"/>
  <c r="BE219" i="10"/>
  <c r="BF219" i="10"/>
  <c r="BG219" i="10"/>
  <c r="BH219" i="10"/>
  <c r="BI219" i="10"/>
  <c r="BK219" i="10"/>
  <c r="J220" i="10"/>
  <c r="BF220" i="10" s="1"/>
  <c r="P220" i="10"/>
  <c r="R220" i="10"/>
  <c r="T220" i="10"/>
  <c r="BE220" i="10"/>
  <c r="BG220" i="10"/>
  <c r="BH220" i="10"/>
  <c r="BI220" i="10"/>
  <c r="BK220" i="10"/>
  <c r="J221" i="10"/>
  <c r="BF221" i="10" s="1"/>
  <c r="P221" i="10"/>
  <c r="R221" i="10"/>
  <c r="T221" i="10"/>
  <c r="BE221" i="10"/>
  <c r="BG221" i="10"/>
  <c r="BH221" i="10"/>
  <c r="BI221" i="10"/>
  <c r="BK221" i="10"/>
  <c r="J222" i="10"/>
  <c r="P222" i="10"/>
  <c r="R222" i="10"/>
  <c r="T222" i="10"/>
  <c r="BE222" i="10"/>
  <c r="BF222" i="10"/>
  <c r="BG222" i="10"/>
  <c r="BH222" i="10"/>
  <c r="BI222" i="10"/>
  <c r="BK222" i="10"/>
  <c r="J223" i="10"/>
  <c r="BF223" i="10" s="1"/>
  <c r="P223" i="10"/>
  <c r="R223" i="10"/>
  <c r="T223" i="10"/>
  <c r="BE223" i="10"/>
  <c r="BG223" i="10"/>
  <c r="BH223" i="10"/>
  <c r="BI223" i="10"/>
  <c r="BK223" i="10"/>
  <c r="J224" i="10"/>
  <c r="BF224" i="10" s="1"/>
  <c r="P224" i="10"/>
  <c r="R224" i="10"/>
  <c r="T224" i="10"/>
  <c r="BE224" i="10"/>
  <c r="BG224" i="10"/>
  <c r="BH224" i="10"/>
  <c r="BI224" i="10"/>
  <c r="BK224" i="10"/>
  <c r="J226" i="10"/>
  <c r="BF226" i="10" s="1"/>
  <c r="P226" i="10"/>
  <c r="R226" i="10"/>
  <c r="T226" i="10"/>
  <c r="BE226" i="10"/>
  <c r="BG226" i="10"/>
  <c r="BH226" i="10"/>
  <c r="BI226" i="10"/>
  <c r="BK226" i="10"/>
  <c r="J227" i="10"/>
  <c r="BF227" i="10" s="1"/>
  <c r="P227" i="10"/>
  <c r="P225" i="10" s="1"/>
  <c r="R227" i="10"/>
  <c r="R225" i="10" s="1"/>
  <c r="T227" i="10"/>
  <c r="BE227" i="10"/>
  <c r="BG227" i="10"/>
  <c r="BH227" i="10"/>
  <c r="BI227" i="10"/>
  <c r="BK227" i="10"/>
  <c r="J228" i="10"/>
  <c r="BF228" i="10" s="1"/>
  <c r="P228" i="10"/>
  <c r="R228" i="10"/>
  <c r="T228" i="10"/>
  <c r="T225" i="10" s="1"/>
  <c r="BE228" i="10"/>
  <c r="BG228" i="10"/>
  <c r="BH228" i="10"/>
  <c r="BI228" i="10"/>
  <c r="BK228" i="10"/>
  <c r="BK225" i="10" s="1"/>
  <c r="J225" i="10" s="1"/>
  <c r="J104" i="10" s="1"/>
  <c r="J229" i="10"/>
  <c r="BF229" i="10" s="1"/>
  <c r="P229" i="10"/>
  <c r="R229" i="10"/>
  <c r="T229" i="10"/>
  <c r="BE229" i="10"/>
  <c r="BG229" i="10"/>
  <c r="BH229" i="10"/>
  <c r="BI229" i="10"/>
  <c r="BK229" i="10"/>
  <c r="J230" i="10"/>
  <c r="P230" i="10"/>
  <c r="R230" i="10"/>
  <c r="T230" i="10"/>
  <c r="BE230" i="10"/>
  <c r="BF230" i="10"/>
  <c r="BG230" i="10"/>
  <c r="BH230" i="10"/>
  <c r="BI230" i="10"/>
  <c r="BK230" i="10"/>
  <c r="J231" i="10"/>
  <c r="BF231" i="10" s="1"/>
  <c r="P231" i="10"/>
  <c r="R231" i="10"/>
  <c r="T231" i="10"/>
  <c r="BE231" i="10"/>
  <c r="BG231" i="10"/>
  <c r="BH231" i="10"/>
  <c r="BI231" i="10"/>
  <c r="BK231" i="10"/>
  <c r="J232" i="10"/>
  <c r="BF232" i="10" s="1"/>
  <c r="P232" i="10"/>
  <c r="R232" i="10"/>
  <c r="T232" i="10"/>
  <c r="BE232" i="10"/>
  <c r="BG232" i="10"/>
  <c r="BH232" i="10"/>
  <c r="BI232" i="10"/>
  <c r="BK232" i="10"/>
  <c r="J233" i="10"/>
  <c r="P233" i="10"/>
  <c r="R233" i="10"/>
  <c r="T233" i="10"/>
  <c r="BE233" i="10"/>
  <c r="BF233" i="10"/>
  <c r="BG233" i="10"/>
  <c r="BH233" i="10"/>
  <c r="BI233" i="10"/>
  <c r="BK233" i="10"/>
  <c r="J234" i="10"/>
  <c r="BF234" i="10" s="1"/>
  <c r="P234" i="10"/>
  <c r="R234" i="10"/>
  <c r="T234" i="10"/>
  <c r="BE234" i="10"/>
  <c r="BG234" i="10"/>
  <c r="BH234" i="10"/>
  <c r="BI234" i="10"/>
  <c r="BK234" i="10"/>
  <c r="J235" i="10"/>
  <c r="BF235" i="10" s="1"/>
  <c r="P235" i="10"/>
  <c r="R235" i="10"/>
  <c r="T235" i="10"/>
  <c r="BE235" i="10"/>
  <c r="BG235" i="10"/>
  <c r="BH235" i="10"/>
  <c r="BI235" i="10"/>
  <c r="BK235" i="10"/>
  <c r="J236" i="10"/>
  <c r="P236" i="10"/>
  <c r="R236" i="10"/>
  <c r="T236" i="10"/>
  <c r="BE236" i="10"/>
  <c r="BF236" i="10"/>
  <c r="BG236" i="10"/>
  <c r="BH236" i="10"/>
  <c r="BI236" i="10"/>
  <c r="BK236" i="10"/>
  <c r="J237" i="10"/>
  <c r="BF237" i="10" s="1"/>
  <c r="P237" i="10"/>
  <c r="R237" i="10"/>
  <c r="T237" i="10"/>
  <c r="BE237" i="10"/>
  <c r="BG237" i="10"/>
  <c r="BH237" i="10"/>
  <c r="BI237" i="10"/>
  <c r="BK237" i="10"/>
  <c r="J238" i="10"/>
  <c r="BF238" i="10" s="1"/>
  <c r="P238" i="10"/>
  <c r="R238" i="10"/>
  <c r="T238" i="10"/>
  <c r="BE238" i="10"/>
  <c r="BG238" i="10"/>
  <c r="BH238" i="10"/>
  <c r="BI238" i="10"/>
  <c r="BK238" i="10"/>
  <c r="J239" i="10"/>
  <c r="P239" i="10"/>
  <c r="R239" i="10"/>
  <c r="T239" i="10"/>
  <c r="BE239" i="10"/>
  <c r="BF239" i="10"/>
  <c r="BG239" i="10"/>
  <c r="BH239" i="10"/>
  <c r="BI239" i="10"/>
  <c r="BK239" i="10"/>
  <c r="J240" i="10"/>
  <c r="P240" i="10"/>
  <c r="R240" i="10"/>
  <c r="T240" i="10"/>
  <c r="BE240" i="10"/>
  <c r="BF240" i="10"/>
  <c r="BG240" i="10"/>
  <c r="BH240" i="10"/>
  <c r="BI240" i="10"/>
  <c r="BK240" i="10"/>
  <c r="J241" i="10"/>
  <c r="BF241" i="10" s="1"/>
  <c r="P241" i="10"/>
  <c r="R241" i="10"/>
  <c r="T241" i="10"/>
  <c r="BE241" i="10"/>
  <c r="BG241" i="10"/>
  <c r="BH241" i="10"/>
  <c r="BI241" i="10"/>
  <c r="BK241" i="10"/>
  <c r="J242" i="10"/>
  <c r="P242" i="10"/>
  <c r="R242" i="10"/>
  <c r="T242" i="10"/>
  <c r="BE242" i="10"/>
  <c r="BF242" i="10"/>
  <c r="BG242" i="10"/>
  <c r="BH242" i="10"/>
  <c r="BI242" i="10"/>
  <c r="BK242" i="10"/>
  <c r="J243" i="10"/>
  <c r="P243" i="10"/>
  <c r="R243" i="10"/>
  <c r="T243" i="10"/>
  <c r="BE243" i="10"/>
  <c r="BF243" i="10"/>
  <c r="BG243" i="10"/>
  <c r="BH243" i="10"/>
  <c r="BI243" i="10"/>
  <c r="BK243" i="10"/>
  <c r="J244" i="10"/>
  <c r="BF244" i="10" s="1"/>
  <c r="P244" i="10"/>
  <c r="R244" i="10"/>
  <c r="T244" i="10"/>
  <c r="BE244" i="10"/>
  <c r="BG244" i="10"/>
  <c r="BH244" i="10"/>
  <c r="BI244" i="10"/>
  <c r="BK244" i="10"/>
  <c r="J245" i="10"/>
  <c r="P245" i="10"/>
  <c r="R245" i="10"/>
  <c r="T245" i="10"/>
  <c r="BE245" i="10"/>
  <c r="BF245" i="10"/>
  <c r="BG245" i="10"/>
  <c r="BH245" i="10"/>
  <c r="BI245" i="10"/>
  <c r="BK245" i="10"/>
  <c r="J246" i="10"/>
  <c r="P246" i="10"/>
  <c r="R246" i="10"/>
  <c r="T246" i="10"/>
  <c r="BE246" i="10"/>
  <c r="BF246" i="10"/>
  <c r="BG246" i="10"/>
  <c r="BH246" i="10"/>
  <c r="BI246" i="10"/>
  <c r="BK246" i="10"/>
  <c r="J248" i="10"/>
  <c r="BF248" i="10" s="1"/>
  <c r="P248" i="10"/>
  <c r="P247" i="10" s="1"/>
  <c r="R248" i="10"/>
  <c r="R247" i="10" s="1"/>
  <c r="T248" i="10"/>
  <c r="BE248" i="10"/>
  <c r="BG248" i="10"/>
  <c r="BH248" i="10"/>
  <c r="BI248" i="10"/>
  <c r="BK248" i="10"/>
  <c r="J249" i="10"/>
  <c r="BF249" i="10" s="1"/>
  <c r="P249" i="10"/>
  <c r="R249" i="10"/>
  <c r="T249" i="10"/>
  <c r="T247" i="10" s="1"/>
  <c r="BE249" i="10"/>
  <c r="BG249" i="10"/>
  <c r="BH249" i="10"/>
  <c r="BI249" i="10"/>
  <c r="BK249" i="10"/>
  <c r="BK247" i="10" s="1"/>
  <c r="J247" i="10" s="1"/>
  <c r="J105" i="10" s="1"/>
  <c r="J250" i="10"/>
  <c r="P250" i="10"/>
  <c r="R250" i="10"/>
  <c r="T250" i="10"/>
  <c r="BE250" i="10"/>
  <c r="BF250" i="10"/>
  <c r="BG250" i="10"/>
  <c r="BH250" i="10"/>
  <c r="BI250" i="10"/>
  <c r="BK250" i="10"/>
  <c r="J251" i="10"/>
  <c r="BF251" i="10" s="1"/>
  <c r="P251" i="10"/>
  <c r="R251" i="10"/>
  <c r="T251" i="10"/>
  <c r="BE251" i="10"/>
  <c r="BG251" i="10"/>
  <c r="BH251" i="10"/>
  <c r="BI251" i="10"/>
  <c r="BK251" i="10"/>
  <c r="T252" i="10"/>
  <c r="J253" i="10"/>
  <c r="P253" i="10"/>
  <c r="P252" i="10" s="1"/>
  <c r="R253" i="10"/>
  <c r="T253" i="10"/>
  <c r="BE253" i="10"/>
  <c r="BF253" i="10"/>
  <c r="BG253" i="10"/>
  <c r="BH253" i="10"/>
  <c r="BI253" i="10"/>
  <c r="BK253" i="10"/>
  <c r="BK252" i="10" s="1"/>
  <c r="J252" i="10" s="1"/>
  <c r="J106" i="10" s="1"/>
  <c r="J254" i="10"/>
  <c r="BF254" i="10" s="1"/>
  <c r="P254" i="10"/>
  <c r="R254" i="10"/>
  <c r="T254" i="10"/>
  <c r="BE254" i="10"/>
  <c r="BG254" i="10"/>
  <c r="BH254" i="10"/>
  <c r="BI254" i="10"/>
  <c r="BK254" i="10"/>
  <c r="J255" i="10"/>
  <c r="BF255" i="10" s="1"/>
  <c r="P255" i="10"/>
  <c r="R255" i="10"/>
  <c r="R252" i="10" s="1"/>
  <c r="T255" i="10"/>
  <c r="BE255" i="10"/>
  <c r="BG255" i="10"/>
  <c r="BH255" i="10"/>
  <c r="BI255" i="10"/>
  <c r="BK255" i="10"/>
  <c r="J256" i="10"/>
  <c r="P256" i="10"/>
  <c r="R256" i="10"/>
  <c r="T256" i="10"/>
  <c r="BE256" i="10"/>
  <c r="BF256" i="10"/>
  <c r="BG256" i="10"/>
  <c r="BH256" i="10"/>
  <c r="BI256" i="10"/>
  <c r="BK256" i="10"/>
  <c r="J258" i="10"/>
  <c r="BF258" i="10" s="1"/>
  <c r="P258" i="10"/>
  <c r="P257" i="10" s="1"/>
  <c r="R258" i="10"/>
  <c r="R257" i="10" s="1"/>
  <c r="T258" i="10"/>
  <c r="BE258" i="10"/>
  <c r="BG258" i="10"/>
  <c r="BH258" i="10"/>
  <c r="BI258" i="10"/>
  <c r="BK258" i="10"/>
  <c r="J259" i="10"/>
  <c r="BF259" i="10" s="1"/>
  <c r="P259" i="10"/>
  <c r="R259" i="10"/>
  <c r="T259" i="10"/>
  <c r="T257" i="10" s="1"/>
  <c r="BE259" i="10"/>
  <c r="BG259" i="10"/>
  <c r="BH259" i="10"/>
  <c r="BI259" i="10"/>
  <c r="BK259" i="10"/>
  <c r="BK257" i="10" s="1"/>
  <c r="J257" i="10" s="1"/>
  <c r="J107" i="10" s="1"/>
  <c r="J260" i="10"/>
  <c r="P260" i="10"/>
  <c r="R260" i="10"/>
  <c r="T260" i="10"/>
  <c r="BE260" i="10"/>
  <c r="BF260" i="10"/>
  <c r="BG260" i="10"/>
  <c r="BH260" i="10"/>
  <c r="BI260" i="10"/>
  <c r="BK260" i="10"/>
  <c r="J261" i="10"/>
  <c r="BF261" i="10" s="1"/>
  <c r="P261" i="10"/>
  <c r="R261" i="10"/>
  <c r="T261" i="10"/>
  <c r="BE261" i="10"/>
  <c r="BG261" i="10"/>
  <c r="BH261" i="10"/>
  <c r="BI261" i="10"/>
  <c r="BK261" i="10"/>
  <c r="J262" i="10"/>
  <c r="BF262" i="10" s="1"/>
  <c r="P262" i="10"/>
  <c r="R262" i="10"/>
  <c r="T262" i="10"/>
  <c r="BE262" i="10"/>
  <c r="BG262" i="10"/>
  <c r="BH262" i="10"/>
  <c r="BI262" i="10"/>
  <c r="BK262" i="10"/>
  <c r="J263" i="10"/>
  <c r="P263" i="10"/>
  <c r="R263" i="10"/>
  <c r="T263" i="10"/>
  <c r="BE263" i="10"/>
  <c r="BF263" i="10"/>
  <c r="BG263" i="10"/>
  <c r="BH263" i="10"/>
  <c r="BI263" i="10"/>
  <c r="BK263" i="10"/>
  <c r="J264" i="10"/>
  <c r="P264" i="10"/>
  <c r="BK264" i="10"/>
  <c r="J265" i="10"/>
  <c r="BF265" i="10" s="1"/>
  <c r="P265" i="10"/>
  <c r="R265" i="10"/>
  <c r="R264" i="10" s="1"/>
  <c r="T265" i="10"/>
  <c r="T264" i="10" s="1"/>
  <c r="BE265" i="10"/>
  <c r="BG265" i="10"/>
  <c r="BH265" i="10"/>
  <c r="BI265" i="10"/>
  <c r="BK265" i="10"/>
  <c r="E118" i="9"/>
  <c r="J89" i="9"/>
  <c r="F91" i="9"/>
  <c r="F125" i="9"/>
  <c r="J91" i="9"/>
  <c r="J92" i="9"/>
  <c r="J35" i="9"/>
  <c r="J36" i="9"/>
  <c r="J37" i="9"/>
  <c r="E87" i="9"/>
  <c r="F89" i="9"/>
  <c r="E120" i="9"/>
  <c r="F122" i="9"/>
  <c r="J130" i="9"/>
  <c r="P130" i="9"/>
  <c r="R130" i="9"/>
  <c r="T130" i="9"/>
  <c r="BE130" i="9"/>
  <c r="F33" i="9" s="1"/>
  <c r="BF130" i="9"/>
  <c r="BG130" i="9"/>
  <c r="BH130" i="9"/>
  <c r="BI130" i="9"/>
  <c r="F37" i="9" s="1"/>
  <c r="BK130" i="9"/>
  <c r="J134" i="9"/>
  <c r="BF134" i="9" s="1"/>
  <c r="P134" i="9"/>
  <c r="P129" i="9" s="1"/>
  <c r="R134" i="9"/>
  <c r="T134" i="9"/>
  <c r="BE134" i="9"/>
  <c r="BG134" i="9"/>
  <c r="F35" i="9" s="1"/>
  <c r="BH134" i="9"/>
  <c r="F36" i="9" s="1"/>
  <c r="BI134" i="9"/>
  <c r="BK134" i="9"/>
  <c r="J137" i="9"/>
  <c r="BF137" i="9" s="1"/>
  <c r="P137" i="9"/>
  <c r="R137" i="9"/>
  <c r="T137" i="9"/>
  <c r="T129" i="9" s="1"/>
  <c r="BE137" i="9"/>
  <c r="BG137" i="9"/>
  <c r="BH137" i="9"/>
  <c r="BI137" i="9"/>
  <c r="BK137" i="9"/>
  <c r="BK129" i="9" s="1"/>
  <c r="J139" i="9"/>
  <c r="P139" i="9"/>
  <c r="R139" i="9"/>
  <c r="T139" i="9"/>
  <c r="BE139" i="9"/>
  <c r="BF139" i="9"/>
  <c r="BG139" i="9"/>
  <c r="BH139" i="9"/>
  <c r="BI139" i="9"/>
  <c r="BK139" i="9"/>
  <c r="J144" i="9"/>
  <c r="P144" i="9"/>
  <c r="R144" i="9"/>
  <c r="T144" i="9"/>
  <c r="BE144" i="9"/>
  <c r="BF144" i="9"/>
  <c r="BG144" i="9"/>
  <c r="BH144" i="9"/>
  <c r="BI144" i="9"/>
  <c r="BK144" i="9"/>
  <c r="J146" i="9"/>
  <c r="BF146" i="9" s="1"/>
  <c r="P146" i="9"/>
  <c r="R146" i="9"/>
  <c r="T146" i="9"/>
  <c r="BE146" i="9"/>
  <c r="BG146" i="9"/>
  <c r="BH146" i="9"/>
  <c r="BI146" i="9"/>
  <c r="BK146" i="9"/>
  <c r="J148" i="9"/>
  <c r="P148" i="9"/>
  <c r="R148" i="9"/>
  <c r="T148" i="9"/>
  <c r="BE148" i="9"/>
  <c r="BF148" i="9"/>
  <c r="BG148" i="9"/>
  <c r="BH148" i="9"/>
  <c r="BI148" i="9"/>
  <c r="BK148" i="9"/>
  <c r="P153" i="9"/>
  <c r="J154" i="9"/>
  <c r="BF154" i="9" s="1"/>
  <c r="P154" i="9"/>
  <c r="R154" i="9"/>
  <c r="R153" i="9" s="1"/>
  <c r="T154" i="9"/>
  <c r="BE154" i="9"/>
  <c r="BG154" i="9"/>
  <c r="BH154" i="9"/>
  <c r="BI154" i="9"/>
  <c r="BK154" i="9"/>
  <c r="J156" i="9"/>
  <c r="BF156" i="9" s="1"/>
  <c r="P156" i="9"/>
  <c r="R156" i="9"/>
  <c r="T156" i="9"/>
  <c r="T153" i="9" s="1"/>
  <c r="BE156" i="9"/>
  <c r="J33" i="9" s="1"/>
  <c r="BG156" i="9"/>
  <c r="BH156" i="9"/>
  <c r="BI156" i="9"/>
  <c r="BK156" i="9"/>
  <c r="BK153" i="9" s="1"/>
  <c r="J153" i="9" s="1"/>
  <c r="J98" i="9" s="1"/>
  <c r="J157" i="9"/>
  <c r="J99" i="9" s="1"/>
  <c r="R157" i="9"/>
  <c r="T157" i="9"/>
  <c r="BK157" i="9"/>
  <c r="J158" i="9"/>
  <c r="P158" i="9"/>
  <c r="P157" i="9" s="1"/>
  <c r="R158" i="9"/>
  <c r="T158" i="9"/>
  <c r="BE158" i="9"/>
  <c r="BF158" i="9"/>
  <c r="BG158" i="9"/>
  <c r="BH158" i="9"/>
  <c r="BI158" i="9"/>
  <c r="BK158" i="9"/>
  <c r="T159" i="9"/>
  <c r="J160" i="9"/>
  <c r="BF160" i="9" s="1"/>
  <c r="P160" i="9"/>
  <c r="R160" i="9"/>
  <c r="R159" i="9" s="1"/>
  <c r="T160" i="9"/>
  <c r="BE160" i="9"/>
  <c r="BG160" i="9"/>
  <c r="BH160" i="9"/>
  <c r="BI160" i="9"/>
  <c r="BK160" i="9"/>
  <c r="BK159" i="9" s="1"/>
  <c r="J159" i="9" s="1"/>
  <c r="J100" i="9" s="1"/>
  <c r="J161" i="9"/>
  <c r="BF161" i="9" s="1"/>
  <c r="P161" i="9"/>
  <c r="R161" i="9"/>
  <c r="T161" i="9"/>
  <c r="BE161" i="9"/>
  <c r="BG161" i="9"/>
  <c r="BH161" i="9"/>
  <c r="BI161" i="9"/>
  <c r="BK161" i="9"/>
  <c r="J162" i="9"/>
  <c r="BF162" i="9" s="1"/>
  <c r="P162" i="9"/>
  <c r="R162" i="9"/>
  <c r="T162" i="9"/>
  <c r="BE162" i="9"/>
  <c r="BG162" i="9"/>
  <c r="BH162" i="9"/>
  <c r="BI162" i="9"/>
  <c r="BK162" i="9"/>
  <c r="J163" i="9"/>
  <c r="BF163" i="9" s="1"/>
  <c r="P163" i="9"/>
  <c r="R163" i="9"/>
  <c r="T163" i="9"/>
  <c r="BE163" i="9"/>
  <c r="BG163" i="9"/>
  <c r="BH163" i="9"/>
  <c r="BI163" i="9"/>
  <c r="BK163" i="9"/>
  <c r="J164" i="9"/>
  <c r="BF164" i="9" s="1"/>
  <c r="P164" i="9"/>
  <c r="R164" i="9"/>
  <c r="T164" i="9"/>
  <c r="BE164" i="9"/>
  <c r="BG164" i="9"/>
  <c r="BH164" i="9"/>
  <c r="BI164" i="9"/>
  <c r="BK164" i="9"/>
  <c r="J165" i="9"/>
  <c r="BF165" i="9" s="1"/>
  <c r="P165" i="9"/>
  <c r="R165" i="9"/>
  <c r="T165" i="9"/>
  <c r="BE165" i="9"/>
  <c r="BG165" i="9"/>
  <c r="BH165" i="9"/>
  <c r="BI165" i="9"/>
  <c r="BK165" i="9"/>
  <c r="J166" i="9"/>
  <c r="BF166" i="9" s="1"/>
  <c r="P166" i="9"/>
  <c r="P159" i="9" s="1"/>
  <c r="R166" i="9"/>
  <c r="T166" i="9"/>
  <c r="BE166" i="9"/>
  <c r="BG166" i="9"/>
  <c r="BH166" i="9"/>
  <c r="BI166" i="9"/>
  <c r="BK166" i="9"/>
  <c r="J167" i="9"/>
  <c r="BF167" i="9" s="1"/>
  <c r="P167" i="9"/>
  <c r="R167" i="9"/>
  <c r="T167" i="9"/>
  <c r="BE167" i="9"/>
  <c r="BG167" i="9"/>
  <c r="BH167" i="9"/>
  <c r="BI167" i="9"/>
  <c r="BK167" i="9"/>
  <c r="J168" i="9"/>
  <c r="BF168" i="9" s="1"/>
  <c r="P168" i="9"/>
  <c r="R168" i="9"/>
  <c r="T168" i="9"/>
  <c r="BE168" i="9"/>
  <c r="BG168" i="9"/>
  <c r="BH168" i="9"/>
  <c r="BI168" i="9"/>
  <c r="BK168" i="9"/>
  <c r="J169" i="9"/>
  <c r="BF169" i="9" s="1"/>
  <c r="P169" i="9"/>
  <c r="R169" i="9"/>
  <c r="T169" i="9"/>
  <c r="BE169" i="9"/>
  <c r="BG169" i="9"/>
  <c r="BH169" i="9"/>
  <c r="BI169" i="9"/>
  <c r="BK169" i="9"/>
  <c r="P171" i="9"/>
  <c r="P170" i="9" s="1"/>
  <c r="J172" i="9"/>
  <c r="BF172" i="9" s="1"/>
  <c r="P172" i="9"/>
  <c r="R172" i="9"/>
  <c r="R171" i="9" s="1"/>
  <c r="T172" i="9"/>
  <c r="BE172" i="9"/>
  <c r="BG172" i="9"/>
  <c r="BH172" i="9"/>
  <c r="BI172" i="9"/>
  <c r="BK172" i="9"/>
  <c r="J173" i="9"/>
  <c r="BF173" i="9" s="1"/>
  <c r="P173" i="9"/>
  <c r="R173" i="9"/>
  <c r="T173" i="9"/>
  <c r="T171" i="9" s="1"/>
  <c r="BE173" i="9"/>
  <c r="BG173" i="9"/>
  <c r="BH173" i="9"/>
  <c r="BI173" i="9"/>
  <c r="BK173" i="9"/>
  <c r="BK171" i="9" s="1"/>
  <c r="J174" i="9"/>
  <c r="BF174" i="9" s="1"/>
  <c r="P174" i="9"/>
  <c r="R174" i="9"/>
  <c r="T174" i="9"/>
  <c r="BE174" i="9"/>
  <c r="BG174" i="9"/>
  <c r="BH174" i="9"/>
  <c r="BI174" i="9"/>
  <c r="BK174" i="9"/>
  <c r="J175" i="9"/>
  <c r="BF175" i="9" s="1"/>
  <c r="P175" i="9"/>
  <c r="R175" i="9"/>
  <c r="T175" i="9"/>
  <c r="BE175" i="9"/>
  <c r="BG175" i="9"/>
  <c r="BH175" i="9"/>
  <c r="BI175" i="9"/>
  <c r="BK175" i="9"/>
  <c r="J176" i="9"/>
  <c r="BF176" i="9" s="1"/>
  <c r="P176" i="9"/>
  <c r="R176" i="9"/>
  <c r="T176" i="9"/>
  <c r="BE176" i="9"/>
  <c r="BG176" i="9"/>
  <c r="BH176" i="9"/>
  <c r="BI176" i="9"/>
  <c r="BK176" i="9"/>
  <c r="J177" i="9"/>
  <c r="BF177" i="9" s="1"/>
  <c r="P177" i="9"/>
  <c r="R177" i="9"/>
  <c r="T177" i="9"/>
  <c r="BE177" i="9"/>
  <c r="BG177" i="9"/>
  <c r="BH177" i="9"/>
  <c r="BI177" i="9"/>
  <c r="BK177" i="9"/>
  <c r="J178" i="9"/>
  <c r="BF178" i="9" s="1"/>
  <c r="P178" i="9"/>
  <c r="R178" i="9"/>
  <c r="T178" i="9"/>
  <c r="BE178" i="9"/>
  <c r="BG178" i="9"/>
  <c r="BH178" i="9"/>
  <c r="BI178" i="9"/>
  <c r="BK178" i="9"/>
  <c r="J179" i="9"/>
  <c r="BF179" i="9" s="1"/>
  <c r="P179" i="9"/>
  <c r="R179" i="9"/>
  <c r="T179" i="9"/>
  <c r="BE179" i="9"/>
  <c r="BG179" i="9"/>
  <c r="BH179" i="9"/>
  <c r="BI179" i="9"/>
  <c r="BK179" i="9"/>
  <c r="J180" i="9"/>
  <c r="BF180" i="9" s="1"/>
  <c r="P180" i="9"/>
  <c r="R180" i="9"/>
  <c r="T180" i="9"/>
  <c r="BE180" i="9"/>
  <c r="BG180" i="9"/>
  <c r="BH180" i="9"/>
  <c r="BI180" i="9"/>
  <c r="BK180" i="9"/>
  <c r="J181" i="9"/>
  <c r="BF181" i="9" s="1"/>
  <c r="P181" i="9"/>
  <c r="R181" i="9"/>
  <c r="T181" i="9"/>
  <c r="BE181" i="9"/>
  <c r="BG181" i="9"/>
  <c r="BH181" i="9"/>
  <c r="BI181" i="9"/>
  <c r="BK181" i="9"/>
  <c r="J182" i="9"/>
  <c r="BF182" i="9" s="1"/>
  <c r="P182" i="9"/>
  <c r="R182" i="9"/>
  <c r="T182" i="9"/>
  <c r="BE182" i="9"/>
  <c r="BG182" i="9"/>
  <c r="BH182" i="9"/>
  <c r="BI182" i="9"/>
  <c r="BK182" i="9"/>
  <c r="J183" i="9"/>
  <c r="BF183" i="9" s="1"/>
  <c r="P183" i="9"/>
  <c r="R183" i="9"/>
  <c r="T183" i="9"/>
  <c r="BE183" i="9"/>
  <c r="BG183" i="9"/>
  <c r="BH183" i="9"/>
  <c r="BI183" i="9"/>
  <c r="BK183" i="9"/>
  <c r="J184" i="9"/>
  <c r="BF184" i="9" s="1"/>
  <c r="P184" i="9"/>
  <c r="R184" i="9"/>
  <c r="T184" i="9"/>
  <c r="BE184" i="9"/>
  <c r="BG184" i="9"/>
  <c r="BH184" i="9"/>
  <c r="BI184" i="9"/>
  <c r="BK184" i="9"/>
  <c r="J185" i="9"/>
  <c r="BF185" i="9" s="1"/>
  <c r="P185" i="9"/>
  <c r="R185" i="9"/>
  <c r="T185" i="9"/>
  <c r="BE185" i="9"/>
  <c r="BG185" i="9"/>
  <c r="BH185" i="9"/>
  <c r="BI185" i="9"/>
  <c r="BK185" i="9"/>
  <c r="J186" i="9"/>
  <c r="BF186" i="9" s="1"/>
  <c r="P186" i="9"/>
  <c r="R186" i="9"/>
  <c r="T186" i="9"/>
  <c r="BE186" i="9"/>
  <c r="BG186" i="9"/>
  <c r="BH186" i="9"/>
  <c r="BI186" i="9"/>
  <c r="BK186" i="9"/>
  <c r="J187" i="9"/>
  <c r="BF187" i="9" s="1"/>
  <c r="P187" i="9"/>
  <c r="R187" i="9"/>
  <c r="T187" i="9"/>
  <c r="BE187" i="9"/>
  <c r="BG187" i="9"/>
  <c r="BH187" i="9"/>
  <c r="BI187" i="9"/>
  <c r="BK187" i="9"/>
  <c r="J188" i="9"/>
  <c r="BF188" i="9" s="1"/>
  <c r="P188" i="9"/>
  <c r="R188" i="9"/>
  <c r="T188" i="9"/>
  <c r="BE188" i="9"/>
  <c r="BG188" i="9"/>
  <c r="BH188" i="9"/>
  <c r="BI188" i="9"/>
  <c r="BK188" i="9"/>
  <c r="J189" i="9"/>
  <c r="BF189" i="9" s="1"/>
  <c r="P189" i="9"/>
  <c r="R189" i="9"/>
  <c r="T189" i="9"/>
  <c r="BE189" i="9"/>
  <c r="BG189" i="9"/>
  <c r="BH189" i="9"/>
  <c r="BI189" i="9"/>
  <c r="BK189" i="9"/>
  <c r="J190" i="9"/>
  <c r="BF190" i="9" s="1"/>
  <c r="P190" i="9"/>
  <c r="R190" i="9"/>
  <c r="T190" i="9"/>
  <c r="BE190" i="9"/>
  <c r="BG190" i="9"/>
  <c r="BH190" i="9"/>
  <c r="BI190" i="9"/>
  <c r="BK190" i="9"/>
  <c r="J191" i="9"/>
  <c r="BF191" i="9" s="1"/>
  <c r="P191" i="9"/>
  <c r="R191" i="9"/>
  <c r="T191" i="9"/>
  <c r="BE191" i="9"/>
  <c r="BG191" i="9"/>
  <c r="BH191" i="9"/>
  <c r="BI191" i="9"/>
  <c r="BK191" i="9"/>
  <c r="J192" i="9"/>
  <c r="BF192" i="9" s="1"/>
  <c r="P192" i="9"/>
  <c r="R192" i="9"/>
  <c r="T192" i="9"/>
  <c r="BE192" i="9"/>
  <c r="BG192" i="9"/>
  <c r="BH192" i="9"/>
  <c r="BI192" i="9"/>
  <c r="BK192" i="9"/>
  <c r="J193" i="9"/>
  <c r="BF193" i="9" s="1"/>
  <c r="P193" i="9"/>
  <c r="R193" i="9"/>
  <c r="T193" i="9"/>
  <c r="BE193" i="9"/>
  <c r="BG193" i="9"/>
  <c r="BH193" i="9"/>
  <c r="BI193" i="9"/>
  <c r="BK193" i="9"/>
  <c r="J194" i="9"/>
  <c r="BF194" i="9" s="1"/>
  <c r="P194" i="9"/>
  <c r="R194" i="9"/>
  <c r="T194" i="9"/>
  <c r="BE194" i="9"/>
  <c r="BG194" i="9"/>
  <c r="BH194" i="9"/>
  <c r="BI194" i="9"/>
  <c r="BK194" i="9"/>
  <c r="J195" i="9"/>
  <c r="BF195" i="9" s="1"/>
  <c r="P195" i="9"/>
  <c r="R195" i="9"/>
  <c r="T195" i="9"/>
  <c r="BE195" i="9"/>
  <c r="BG195" i="9"/>
  <c r="BH195" i="9"/>
  <c r="BI195" i="9"/>
  <c r="BK195" i="9"/>
  <c r="J196" i="9"/>
  <c r="BF196" i="9" s="1"/>
  <c r="P196" i="9"/>
  <c r="R196" i="9"/>
  <c r="T196" i="9"/>
  <c r="BE196" i="9"/>
  <c r="BG196" i="9"/>
  <c r="BH196" i="9"/>
  <c r="BI196" i="9"/>
  <c r="BK196" i="9"/>
  <c r="J197" i="9"/>
  <c r="BF197" i="9" s="1"/>
  <c r="P197" i="9"/>
  <c r="R197" i="9"/>
  <c r="T197" i="9"/>
  <c r="BE197" i="9"/>
  <c r="BG197" i="9"/>
  <c r="BH197" i="9"/>
  <c r="BI197" i="9"/>
  <c r="BK197" i="9"/>
  <c r="J199" i="9"/>
  <c r="P199" i="9"/>
  <c r="P198" i="9" s="1"/>
  <c r="R199" i="9"/>
  <c r="T199" i="9"/>
  <c r="BE199" i="9"/>
  <c r="BF199" i="9"/>
  <c r="BG199" i="9"/>
  <c r="BH199" i="9"/>
  <c r="BI199" i="9"/>
  <c r="BK199" i="9"/>
  <c r="J200" i="9"/>
  <c r="BF200" i="9" s="1"/>
  <c r="P200" i="9"/>
  <c r="R200" i="9"/>
  <c r="R198" i="9" s="1"/>
  <c r="T200" i="9"/>
  <c r="T198" i="9" s="1"/>
  <c r="BE200" i="9"/>
  <c r="BG200" i="9"/>
  <c r="BH200" i="9"/>
  <c r="BI200" i="9"/>
  <c r="BK200" i="9"/>
  <c r="BK198" i="9" s="1"/>
  <c r="J198" i="9" s="1"/>
  <c r="J103" i="9" s="1"/>
  <c r="J201" i="9"/>
  <c r="P201" i="9"/>
  <c r="R201" i="9"/>
  <c r="T201" i="9"/>
  <c r="BE201" i="9"/>
  <c r="BF201" i="9"/>
  <c r="BG201" i="9"/>
  <c r="BH201" i="9"/>
  <c r="BI201" i="9"/>
  <c r="BK201" i="9"/>
  <c r="J202" i="9"/>
  <c r="P202" i="9"/>
  <c r="R202" i="9"/>
  <c r="T202" i="9"/>
  <c r="BE202" i="9"/>
  <c r="BF202" i="9"/>
  <c r="BG202" i="9"/>
  <c r="BH202" i="9"/>
  <c r="BI202" i="9"/>
  <c r="BK202" i="9"/>
  <c r="J203" i="9"/>
  <c r="BF203" i="9" s="1"/>
  <c r="P203" i="9"/>
  <c r="R203" i="9"/>
  <c r="T203" i="9"/>
  <c r="BE203" i="9"/>
  <c r="BG203" i="9"/>
  <c r="BH203" i="9"/>
  <c r="BI203" i="9"/>
  <c r="BK203" i="9"/>
  <c r="J204" i="9"/>
  <c r="P204" i="9"/>
  <c r="R204" i="9"/>
  <c r="T204" i="9"/>
  <c r="BE204" i="9"/>
  <c r="BF204" i="9"/>
  <c r="BG204" i="9"/>
  <c r="BH204" i="9"/>
  <c r="BI204" i="9"/>
  <c r="BK204" i="9"/>
  <c r="J205" i="9"/>
  <c r="P205" i="9"/>
  <c r="R205" i="9"/>
  <c r="T205" i="9"/>
  <c r="BE205" i="9"/>
  <c r="BF205" i="9"/>
  <c r="BG205" i="9"/>
  <c r="BH205" i="9"/>
  <c r="BI205" i="9"/>
  <c r="BK205" i="9"/>
  <c r="J206" i="9"/>
  <c r="BF206" i="9" s="1"/>
  <c r="P206" i="9"/>
  <c r="R206" i="9"/>
  <c r="T206" i="9"/>
  <c r="BE206" i="9"/>
  <c r="BG206" i="9"/>
  <c r="BH206" i="9"/>
  <c r="BI206" i="9"/>
  <c r="BK206" i="9"/>
  <c r="J207" i="9"/>
  <c r="P207" i="9"/>
  <c r="R207" i="9"/>
  <c r="T207" i="9"/>
  <c r="BE207" i="9"/>
  <c r="BF207" i="9"/>
  <c r="BG207" i="9"/>
  <c r="BH207" i="9"/>
  <c r="BI207" i="9"/>
  <c r="BK207" i="9"/>
  <c r="J208" i="9"/>
  <c r="P208" i="9"/>
  <c r="R208" i="9"/>
  <c r="T208" i="9"/>
  <c r="BE208" i="9"/>
  <c r="BF208" i="9"/>
  <c r="BG208" i="9"/>
  <c r="BH208" i="9"/>
  <c r="BI208" i="9"/>
  <c r="BK208" i="9"/>
  <c r="J209" i="9"/>
  <c r="BF209" i="9" s="1"/>
  <c r="P209" i="9"/>
  <c r="R209" i="9"/>
  <c r="T209" i="9"/>
  <c r="BE209" i="9"/>
  <c r="BG209" i="9"/>
  <c r="BH209" i="9"/>
  <c r="BI209" i="9"/>
  <c r="BK209" i="9"/>
  <c r="J210" i="9"/>
  <c r="P210" i="9"/>
  <c r="R210" i="9"/>
  <c r="T210" i="9"/>
  <c r="BE210" i="9"/>
  <c r="BF210" i="9"/>
  <c r="BG210" i="9"/>
  <c r="BH210" i="9"/>
  <c r="BI210" i="9"/>
  <c r="BK210" i="9"/>
  <c r="J211" i="9"/>
  <c r="P211" i="9"/>
  <c r="R211" i="9"/>
  <c r="T211" i="9"/>
  <c r="BE211" i="9"/>
  <c r="BF211" i="9"/>
  <c r="BG211" i="9"/>
  <c r="BH211" i="9"/>
  <c r="BI211" i="9"/>
  <c r="BK211" i="9"/>
  <c r="J212" i="9"/>
  <c r="BF212" i="9" s="1"/>
  <c r="P212" i="9"/>
  <c r="R212" i="9"/>
  <c r="T212" i="9"/>
  <c r="BE212" i="9"/>
  <c r="BG212" i="9"/>
  <c r="BH212" i="9"/>
  <c r="BI212" i="9"/>
  <c r="BK212" i="9"/>
  <c r="J213" i="9"/>
  <c r="P213" i="9"/>
  <c r="R213" i="9"/>
  <c r="T213" i="9"/>
  <c r="BE213" i="9"/>
  <c r="BF213" i="9"/>
  <c r="BG213" i="9"/>
  <c r="BH213" i="9"/>
  <c r="BI213" i="9"/>
  <c r="BK213" i="9"/>
  <c r="J214" i="9"/>
  <c r="P214" i="9"/>
  <c r="R214" i="9"/>
  <c r="T214" i="9"/>
  <c r="BE214" i="9"/>
  <c r="BF214" i="9"/>
  <c r="BG214" i="9"/>
  <c r="BH214" i="9"/>
  <c r="BI214" i="9"/>
  <c r="BK214" i="9"/>
  <c r="J215" i="9"/>
  <c r="BF215" i="9" s="1"/>
  <c r="P215" i="9"/>
  <c r="R215" i="9"/>
  <c r="T215" i="9"/>
  <c r="BE215" i="9"/>
  <c r="BG215" i="9"/>
  <c r="BH215" i="9"/>
  <c r="BI215" i="9"/>
  <c r="BK215" i="9"/>
  <c r="J216" i="9"/>
  <c r="P216" i="9"/>
  <c r="R216" i="9"/>
  <c r="T216" i="9"/>
  <c r="BE216" i="9"/>
  <c r="BF216" i="9"/>
  <c r="BG216" i="9"/>
  <c r="BH216" i="9"/>
  <c r="BI216" i="9"/>
  <c r="BK216" i="9"/>
  <c r="J217" i="9"/>
  <c r="P217" i="9"/>
  <c r="R217" i="9"/>
  <c r="T217" i="9"/>
  <c r="BE217" i="9"/>
  <c r="BF217" i="9"/>
  <c r="BG217" i="9"/>
  <c r="BH217" i="9"/>
  <c r="BI217" i="9"/>
  <c r="BK217" i="9"/>
  <c r="J218" i="9"/>
  <c r="BF218" i="9" s="1"/>
  <c r="P218" i="9"/>
  <c r="R218" i="9"/>
  <c r="T218" i="9"/>
  <c r="BE218" i="9"/>
  <c r="BG218" i="9"/>
  <c r="BH218" i="9"/>
  <c r="BI218" i="9"/>
  <c r="BK218" i="9"/>
  <c r="J219" i="9"/>
  <c r="P219" i="9"/>
  <c r="R219" i="9"/>
  <c r="T219" i="9"/>
  <c r="BE219" i="9"/>
  <c r="BF219" i="9"/>
  <c r="BG219" i="9"/>
  <c r="BH219" i="9"/>
  <c r="BI219" i="9"/>
  <c r="BK219" i="9"/>
  <c r="J220" i="9"/>
  <c r="P220" i="9"/>
  <c r="R220" i="9"/>
  <c r="T220" i="9"/>
  <c r="BE220" i="9"/>
  <c r="BF220" i="9"/>
  <c r="BG220" i="9"/>
  <c r="BH220" i="9"/>
  <c r="BI220" i="9"/>
  <c r="BK220" i="9"/>
  <c r="J221" i="9"/>
  <c r="BF221" i="9" s="1"/>
  <c r="P221" i="9"/>
  <c r="R221" i="9"/>
  <c r="T221" i="9"/>
  <c r="BE221" i="9"/>
  <c r="BG221" i="9"/>
  <c r="BH221" i="9"/>
  <c r="BI221" i="9"/>
  <c r="BK221" i="9"/>
  <c r="J222" i="9"/>
  <c r="P222" i="9"/>
  <c r="R222" i="9"/>
  <c r="T222" i="9"/>
  <c r="BE222" i="9"/>
  <c r="BF222" i="9"/>
  <c r="BG222" i="9"/>
  <c r="BH222" i="9"/>
  <c r="BI222" i="9"/>
  <c r="BK222" i="9"/>
  <c r="J223" i="9"/>
  <c r="P223" i="9"/>
  <c r="R223" i="9"/>
  <c r="T223" i="9"/>
  <c r="BE223" i="9"/>
  <c r="BF223" i="9"/>
  <c r="BG223" i="9"/>
  <c r="BH223" i="9"/>
  <c r="BI223" i="9"/>
  <c r="BK223" i="9"/>
  <c r="J224" i="9"/>
  <c r="BF224" i="9" s="1"/>
  <c r="P224" i="9"/>
  <c r="R224" i="9"/>
  <c r="T224" i="9"/>
  <c r="BE224" i="9"/>
  <c r="BG224" i="9"/>
  <c r="BH224" i="9"/>
  <c r="BI224" i="9"/>
  <c r="BK224" i="9"/>
  <c r="J226" i="9"/>
  <c r="BF226" i="9" s="1"/>
  <c r="P226" i="9"/>
  <c r="R226" i="9"/>
  <c r="T226" i="9"/>
  <c r="T225" i="9" s="1"/>
  <c r="BE226" i="9"/>
  <c r="BG226" i="9"/>
  <c r="BH226" i="9"/>
  <c r="BI226" i="9"/>
  <c r="BK226" i="9"/>
  <c r="BK225" i="9" s="1"/>
  <c r="J225" i="9" s="1"/>
  <c r="J104" i="9" s="1"/>
  <c r="J227" i="9"/>
  <c r="P227" i="9"/>
  <c r="P225" i="9" s="1"/>
  <c r="R227" i="9"/>
  <c r="R225" i="9" s="1"/>
  <c r="T227" i="9"/>
  <c r="BE227" i="9"/>
  <c r="BF227" i="9"/>
  <c r="BG227" i="9"/>
  <c r="BH227" i="9"/>
  <c r="BI227" i="9"/>
  <c r="BK227" i="9"/>
  <c r="J228" i="9"/>
  <c r="BF228" i="9" s="1"/>
  <c r="P228" i="9"/>
  <c r="R228" i="9"/>
  <c r="T228" i="9"/>
  <c r="BE228" i="9"/>
  <c r="BG228" i="9"/>
  <c r="BH228" i="9"/>
  <c r="BI228" i="9"/>
  <c r="BK228" i="9"/>
  <c r="J229" i="9"/>
  <c r="BF229" i="9" s="1"/>
  <c r="P229" i="9"/>
  <c r="R229" i="9"/>
  <c r="T229" i="9"/>
  <c r="BE229" i="9"/>
  <c r="BG229" i="9"/>
  <c r="BH229" i="9"/>
  <c r="BI229" i="9"/>
  <c r="BK229" i="9"/>
  <c r="J230" i="9"/>
  <c r="P230" i="9"/>
  <c r="R230" i="9"/>
  <c r="T230" i="9"/>
  <c r="BE230" i="9"/>
  <c r="BF230" i="9"/>
  <c r="BG230" i="9"/>
  <c r="BH230" i="9"/>
  <c r="BI230" i="9"/>
  <c r="BK230" i="9"/>
  <c r="J231" i="9"/>
  <c r="BF231" i="9" s="1"/>
  <c r="P231" i="9"/>
  <c r="R231" i="9"/>
  <c r="T231" i="9"/>
  <c r="BE231" i="9"/>
  <c r="BG231" i="9"/>
  <c r="BH231" i="9"/>
  <c r="BI231" i="9"/>
  <c r="BK231" i="9"/>
  <c r="J232" i="9"/>
  <c r="BF232" i="9" s="1"/>
  <c r="P232" i="9"/>
  <c r="R232" i="9"/>
  <c r="T232" i="9"/>
  <c r="BE232" i="9"/>
  <c r="BG232" i="9"/>
  <c r="BH232" i="9"/>
  <c r="BI232" i="9"/>
  <c r="BK232" i="9"/>
  <c r="J233" i="9"/>
  <c r="P233" i="9"/>
  <c r="R233" i="9"/>
  <c r="T233" i="9"/>
  <c r="BE233" i="9"/>
  <c r="BF233" i="9"/>
  <c r="BG233" i="9"/>
  <c r="BH233" i="9"/>
  <c r="BI233" i="9"/>
  <c r="BK233" i="9"/>
  <c r="J234" i="9"/>
  <c r="BF234" i="9" s="1"/>
  <c r="P234" i="9"/>
  <c r="R234" i="9"/>
  <c r="T234" i="9"/>
  <c r="BE234" i="9"/>
  <c r="BG234" i="9"/>
  <c r="BH234" i="9"/>
  <c r="BI234" i="9"/>
  <c r="BK234" i="9"/>
  <c r="J235" i="9"/>
  <c r="BF235" i="9" s="1"/>
  <c r="P235" i="9"/>
  <c r="R235" i="9"/>
  <c r="T235" i="9"/>
  <c r="BE235" i="9"/>
  <c r="BG235" i="9"/>
  <c r="BH235" i="9"/>
  <c r="BI235" i="9"/>
  <c r="BK235" i="9"/>
  <c r="J236" i="9"/>
  <c r="P236" i="9"/>
  <c r="R236" i="9"/>
  <c r="T236" i="9"/>
  <c r="BE236" i="9"/>
  <c r="BF236" i="9"/>
  <c r="BG236" i="9"/>
  <c r="BH236" i="9"/>
  <c r="BI236" i="9"/>
  <c r="BK236" i="9"/>
  <c r="J237" i="9"/>
  <c r="BF237" i="9" s="1"/>
  <c r="P237" i="9"/>
  <c r="R237" i="9"/>
  <c r="T237" i="9"/>
  <c r="BE237" i="9"/>
  <c r="BG237" i="9"/>
  <c r="BH237" i="9"/>
  <c r="BI237" i="9"/>
  <c r="BK237" i="9"/>
  <c r="J238" i="9"/>
  <c r="BF238" i="9" s="1"/>
  <c r="P238" i="9"/>
  <c r="R238" i="9"/>
  <c r="T238" i="9"/>
  <c r="BE238" i="9"/>
  <c r="BG238" i="9"/>
  <c r="BH238" i="9"/>
  <c r="BI238" i="9"/>
  <c r="BK238" i="9"/>
  <c r="J239" i="9"/>
  <c r="P239" i="9"/>
  <c r="R239" i="9"/>
  <c r="T239" i="9"/>
  <c r="BE239" i="9"/>
  <c r="BF239" i="9"/>
  <c r="BG239" i="9"/>
  <c r="BH239" i="9"/>
  <c r="BI239" i="9"/>
  <c r="BK239" i="9"/>
  <c r="J240" i="9"/>
  <c r="BF240" i="9" s="1"/>
  <c r="P240" i="9"/>
  <c r="R240" i="9"/>
  <c r="T240" i="9"/>
  <c r="BE240" i="9"/>
  <c r="BG240" i="9"/>
  <c r="BH240" i="9"/>
  <c r="BI240" i="9"/>
  <c r="BK240" i="9"/>
  <c r="J241" i="9"/>
  <c r="BF241" i="9" s="1"/>
  <c r="P241" i="9"/>
  <c r="R241" i="9"/>
  <c r="T241" i="9"/>
  <c r="BE241" i="9"/>
  <c r="BG241" i="9"/>
  <c r="BH241" i="9"/>
  <c r="BI241" i="9"/>
  <c r="BK241" i="9"/>
  <c r="J242" i="9"/>
  <c r="P242" i="9"/>
  <c r="R242" i="9"/>
  <c r="T242" i="9"/>
  <c r="BE242" i="9"/>
  <c r="BF242" i="9"/>
  <c r="BG242" i="9"/>
  <c r="BH242" i="9"/>
  <c r="BI242" i="9"/>
  <c r="BK242" i="9"/>
  <c r="J243" i="9"/>
  <c r="BF243" i="9" s="1"/>
  <c r="P243" i="9"/>
  <c r="R243" i="9"/>
  <c r="T243" i="9"/>
  <c r="BE243" i="9"/>
  <c r="BG243" i="9"/>
  <c r="BH243" i="9"/>
  <c r="BI243" i="9"/>
  <c r="BK243" i="9"/>
  <c r="J244" i="9"/>
  <c r="BF244" i="9" s="1"/>
  <c r="P244" i="9"/>
  <c r="R244" i="9"/>
  <c r="T244" i="9"/>
  <c r="BE244" i="9"/>
  <c r="BG244" i="9"/>
  <c r="BH244" i="9"/>
  <c r="BI244" i="9"/>
  <c r="BK244" i="9"/>
  <c r="J245" i="9"/>
  <c r="P245" i="9"/>
  <c r="R245" i="9"/>
  <c r="T245" i="9"/>
  <c r="BE245" i="9"/>
  <c r="BF245" i="9"/>
  <c r="BG245" i="9"/>
  <c r="BH245" i="9"/>
  <c r="BI245" i="9"/>
  <c r="BK245" i="9"/>
  <c r="J246" i="9"/>
  <c r="BF246" i="9" s="1"/>
  <c r="P246" i="9"/>
  <c r="R246" i="9"/>
  <c r="T246" i="9"/>
  <c r="BE246" i="9"/>
  <c r="BG246" i="9"/>
  <c r="BH246" i="9"/>
  <c r="BI246" i="9"/>
  <c r="BK246" i="9"/>
  <c r="J247" i="9"/>
  <c r="BF247" i="9" s="1"/>
  <c r="P247" i="9"/>
  <c r="R247" i="9"/>
  <c r="T247" i="9"/>
  <c r="BE247" i="9"/>
  <c r="BG247" i="9"/>
  <c r="BH247" i="9"/>
  <c r="BI247" i="9"/>
  <c r="BK247" i="9"/>
  <c r="J248" i="9"/>
  <c r="P248" i="9"/>
  <c r="R248" i="9"/>
  <c r="T248" i="9"/>
  <c r="BE248" i="9"/>
  <c r="BF248" i="9"/>
  <c r="BG248" i="9"/>
  <c r="BH248" i="9"/>
  <c r="BI248" i="9"/>
  <c r="BK248" i="9"/>
  <c r="J249" i="9"/>
  <c r="BF249" i="9" s="1"/>
  <c r="P249" i="9"/>
  <c r="R249" i="9"/>
  <c r="T249" i="9"/>
  <c r="BE249" i="9"/>
  <c r="BG249" i="9"/>
  <c r="BH249" i="9"/>
  <c r="BI249" i="9"/>
  <c r="BK249" i="9"/>
  <c r="J250" i="9"/>
  <c r="BF250" i="9" s="1"/>
  <c r="P250" i="9"/>
  <c r="R250" i="9"/>
  <c r="T250" i="9"/>
  <c r="BE250" i="9"/>
  <c r="BG250" i="9"/>
  <c r="BH250" i="9"/>
  <c r="BI250" i="9"/>
  <c r="BK250" i="9"/>
  <c r="J251" i="9"/>
  <c r="P251" i="9"/>
  <c r="R251" i="9"/>
  <c r="T251" i="9"/>
  <c r="BE251" i="9"/>
  <c r="BF251" i="9"/>
  <c r="BG251" i="9"/>
  <c r="BH251" i="9"/>
  <c r="BI251" i="9"/>
  <c r="BK251" i="9"/>
  <c r="J253" i="9"/>
  <c r="P253" i="9"/>
  <c r="R253" i="9"/>
  <c r="R252" i="9" s="1"/>
  <c r="T253" i="9"/>
  <c r="T252" i="9" s="1"/>
  <c r="BE253" i="9"/>
  <c r="BF253" i="9"/>
  <c r="BG253" i="9"/>
  <c r="BH253" i="9"/>
  <c r="BI253" i="9"/>
  <c r="BK253" i="9"/>
  <c r="J254" i="9"/>
  <c r="P254" i="9"/>
  <c r="P252" i="9" s="1"/>
  <c r="R254" i="9"/>
  <c r="T254" i="9"/>
  <c r="BE254" i="9"/>
  <c r="BF254" i="9"/>
  <c r="BG254" i="9"/>
  <c r="BH254" i="9"/>
  <c r="BI254" i="9"/>
  <c r="BK254" i="9"/>
  <c r="J255" i="9"/>
  <c r="BF255" i="9" s="1"/>
  <c r="P255" i="9"/>
  <c r="R255" i="9"/>
  <c r="T255" i="9"/>
  <c r="BE255" i="9"/>
  <c r="BG255" i="9"/>
  <c r="BH255" i="9"/>
  <c r="BI255" i="9"/>
  <c r="BK255" i="9"/>
  <c r="BK252" i="9" s="1"/>
  <c r="J252" i="9" s="1"/>
  <c r="J105" i="9" s="1"/>
  <c r="J256" i="9"/>
  <c r="P256" i="9"/>
  <c r="R256" i="9"/>
  <c r="T256" i="9"/>
  <c r="BE256" i="9"/>
  <c r="BF256" i="9"/>
  <c r="BG256" i="9"/>
  <c r="BH256" i="9"/>
  <c r="BI256" i="9"/>
  <c r="BK256" i="9"/>
  <c r="P257" i="9"/>
  <c r="J258" i="9"/>
  <c r="P258" i="9"/>
  <c r="R258" i="9"/>
  <c r="R257" i="9" s="1"/>
  <c r="T258" i="9"/>
  <c r="BE258" i="9"/>
  <c r="BF258" i="9"/>
  <c r="BG258" i="9"/>
  <c r="BH258" i="9"/>
  <c r="BI258" i="9"/>
  <c r="BK258" i="9"/>
  <c r="J259" i="9"/>
  <c r="BF259" i="9" s="1"/>
  <c r="P259" i="9"/>
  <c r="R259" i="9"/>
  <c r="T259" i="9"/>
  <c r="T257" i="9" s="1"/>
  <c r="BE259" i="9"/>
  <c r="BG259" i="9"/>
  <c r="BH259" i="9"/>
  <c r="BI259" i="9"/>
  <c r="BK259" i="9"/>
  <c r="J260" i="9"/>
  <c r="BF260" i="9" s="1"/>
  <c r="P260" i="9"/>
  <c r="R260" i="9"/>
  <c r="T260" i="9"/>
  <c r="BE260" i="9"/>
  <c r="BG260" i="9"/>
  <c r="BH260" i="9"/>
  <c r="BI260" i="9"/>
  <c r="BK260" i="9"/>
  <c r="BK257" i="9" s="1"/>
  <c r="J257" i="9" s="1"/>
  <c r="J106" i="9" s="1"/>
  <c r="J261" i="9"/>
  <c r="P261" i="9"/>
  <c r="R261" i="9"/>
  <c r="T261" i="9"/>
  <c r="BE261" i="9"/>
  <c r="BF261" i="9"/>
  <c r="BG261" i="9"/>
  <c r="BH261" i="9"/>
  <c r="BI261" i="9"/>
  <c r="BK261" i="9"/>
  <c r="J263" i="9"/>
  <c r="P263" i="9"/>
  <c r="R263" i="9"/>
  <c r="R262" i="9" s="1"/>
  <c r="T263" i="9"/>
  <c r="T262" i="9" s="1"/>
  <c r="BE263" i="9"/>
  <c r="BF263" i="9"/>
  <c r="BG263" i="9"/>
  <c r="BH263" i="9"/>
  <c r="BI263" i="9"/>
  <c r="BK263" i="9"/>
  <c r="J264" i="9"/>
  <c r="P264" i="9"/>
  <c r="P262" i="9" s="1"/>
  <c r="R264" i="9"/>
  <c r="T264" i="9"/>
  <c r="BE264" i="9"/>
  <c r="BF264" i="9"/>
  <c r="BG264" i="9"/>
  <c r="BH264" i="9"/>
  <c r="BI264" i="9"/>
  <c r="BK264" i="9"/>
  <c r="J265" i="9"/>
  <c r="BF265" i="9" s="1"/>
  <c r="P265" i="9"/>
  <c r="R265" i="9"/>
  <c r="T265" i="9"/>
  <c r="BE265" i="9"/>
  <c r="BG265" i="9"/>
  <c r="BH265" i="9"/>
  <c r="BI265" i="9"/>
  <c r="BK265" i="9"/>
  <c r="BK262" i="9" s="1"/>
  <c r="J262" i="9" s="1"/>
  <c r="J107" i="9" s="1"/>
  <c r="J266" i="9"/>
  <c r="P266" i="9"/>
  <c r="R266" i="9"/>
  <c r="T266" i="9"/>
  <c r="BE266" i="9"/>
  <c r="BF266" i="9"/>
  <c r="BG266" i="9"/>
  <c r="BH266" i="9"/>
  <c r="BI266" i="9"/>
  <c r="BK266" i="9"/>
  <c r="J267" i="9"/>
  <c r="P267" i="9"/>
  <c r="R267" i="9"/>
  <c r="T267" i="9"/>
  <c r="BE267" i="9"/>
  <c r="BF267" i="9"/>
  <c r="BG267" i="9"/>
  <c r="BH267" i="9"/>
  <c r="BI267" i="9"/>
  <c r="BK267" i="9"/>
  <c r="J268" i="9"/>
  <c r="BF268" i="9" s="1"/>
  <c r="P268" i="9"/>
  <c r="R268" i="9"/>
  <c r="T268" i="9"/>
  <c r="BE268" i="9"/>
  <c r="BG268" i="9"/>
  <c r="BH268" i="9"/>
  <c r="BI268" i="9"/>
  <c r="BK268" i="9"/>
  <c r="P269" i="9"/>
  <c r="R269" i="9"/>
  <c r="J270" i="9"/>
  <c r="BF270" i="9" s="1"/>
  <c r="P270" i="9"/>
  <c r="R270" i="9"/>
  <c r="T270" i="9"/>
  <c r="T269" i="9" s="1"/>
  <c r="BE270" i="9"/>
  <c r="BG270" i="9"/>
  <c r="BH270" i="9"/>
  <c r="BI270" i="9"/>
  <c r="BK270" i="9"/>
  <c r="BK269" i="9" s="1"/>
  <c r="J269" i="9" s="1"/>
  <c r="J108" i="9" s="1"/>
  <c r="E85" i="8"/>
  <c r="J89" i="8"/>
  <c r="F91" i="8"/>
  <c r="F92" i="8"/>
  <c r="J91" i="8"/>
  <c r="J92" i="8"/>
  <c r="J33" i="8"/>
  <c r="J35" i="8"/>
  <c r="J36" i="8"/>
  <c r="J37" i="8"/>
  <c r="E87" i="8"/>
  <c r="F89" i="8"/>
  <c r="E111" i="8"/>
  <c r="F113" i="8"/>
  <c r="J115" i="8"/>
  <c r="R121" i="8"/>
  <c r="R120" i="8" s="1"/>
  <c r="R119" i="8" s="1"/>
  <c r="J122" i="8"/>
  <c r="BF122" i="8" s="1"/>
  <c r="P122" i="8"/>
  <c r="R122" i="8"/>
  <c r="T122" i="8"/>
  <c r="T121" i="8" s="1"/>
  <c r="T120" i="8" s="1"/>
  <c r="T119" i="8" s="1"/>
  <c r="BE122" i="8"/>
  <c r="BG122" i="8"/>
  <c r="F35" i="8" s="1"/>
  <c r="BH122" i="8"/>
  <c r="F36" i="8" s="1"/>
  <c r="BI122" i="8"/>
  <c r="F37" i="8" s="1"/>
  <c r="BK122" i="8"/>
  <c r="BK121" i="8" s="1"/>
  <c r="J123" i="8"/>
  <c r="P123" i="8"/>
  <c r="R123" i="8"/>
  <c r="T123" i="8"/>
  <c r="BE123" i="8"/>
  <c r="F33" i="8" s="1"/>
  <c r="BF123" i="8"/>
  <c r="BG123" i="8"/>
  <c r="BH123" i="8"/>
  <c r="BI123" i="8"/>
  <c r="BK123" i="8"/>
  <c r="J124" i="8"/>
  <c r="BF124" i="8" s="1"/>
  <c r="P124" i="8"/>
  <c r="P121" i="8" s="1"/>
  <c r="P120" i="8" s="1"/>
  <c r="P119" i="8" s="1"/>
  <c r="R124" i="8"/>
  <c r="T124" i="8"/>
  <c r="BE124" i="8"/>
  <c r="BG124" i="8"/>
  <c r="BH124" i="8"/>
  <c r="BI124" i="8"/>
  <c r="BK124" i="8"/>
  <c r="J125" i="8"/>
  <c r="BF125" i="8" s="1"/>
  <c r="P125" i="8"/>
  <c r="R125" i="8"/>
  <c r="T125" i="8"/>
  <c r="BE125" i="8"/>
  <c r="BG125" i="8"/>
  <c r="BH125" i="8"/>
  <c r="BI125" i="8"/>
  <c r="BK125" i="8"/>
  <c r="J126" i="8"/>
  <c r="P126" i="8"/>
  <c r="R126" i="8"/>
  <c r="T126" i="8"/>
  <c r="BE126" i="8"/>
  <c r="BF126" i="8"/>
  <c r="BG126" i="8"/>
  <c r="BH126" i="8"/>
  <c r="BI126" i="8"/>
  <c r="BK126" i="8"/>
  <c r="J127" i="8"/>
  <c r="P127" i="8"/>
  <c r="R127" i="8"/>
  <c r="T127" i="8"/>
  <c r="BE127" i="8"/>
  <c r="BF127" i="8"/>
  <c r="BG127" i="8"/>
  <c r="BH127" i="8"/>
  <c r="BI127" i="8"/>
  <c r="BK127" i="8"/>
  <c r="J128" i="8"/>
  <c r="BF128" i="8" s="1"/>
  <c r="P128" i="8"/>
  <c r="R128" i="8"/>
  <c r="T128" i="8"/>
  <c r="BE128" i="8"/>
  <c r="BG128" i="8"/>
  <c r="BH128" i="8"/>
  <c r="BI128" i="8"/>
  <c r="BK128" i="8"/>
  <c r="J129" i="8"/>
  <c r="P129" i="8"/>
  <c r="R129" i="8"/>
  <c r="T129" i="8"/>
  <c r="BE129" i="8"/>
  <c r="BF129" i="8"/>
  <c r="BG129" i="8"/>
  <c r="BH129" i="8"/>
  <c r="BI129" i="8"/>
  <c r="BK129" i="8"/>
  <c r="J130" i="8"/>
  <c r="P130" i="8"/>
  <c r="R130" i="8"/>
  <c r="T130" i="8"/>
  <c r="BE130" i="8"/>
  <c r="BF130" i="8"/>
  <c r="BG130" i="8"/>
  <c r="BH130" i="8"/>
  <c r="BI130" i="8"/>
  <c r="BK130" i="8"/>
  <c r="J131" i="8"/>
  <c r="BF131" i="8" s="1"/>
  <c r="P131" i="8"/>
  <c r="R131" i="8"/>
  <c r="T131" i="8"/>
  <c r="BE131" i="8"/>
  <c r="BG131" i="8"/>
  <c r="BH131" i="8"/>
  <c r="BI131" i="8"/>
  <c r="BK131" i="8"/>
  <c r="J132" i="8"/>
  <c r="P132" i="8"/>
  <c r="R132" i="8"/>
  <c r="T132" i="8"/>
  <c r="BE132" i="8"/>
  <c r="BF132" i="8"/>
  <c r="BG132" i="8"/>
  <c r="BH132" i="8"/>
  <c r="BI132" i="8"/>
  <c r="BK132" i="8"/>
  <c r="J133" i="8"/>
  <c r="P133" i="8"/>
  <c r="R133" i="8"/>
  <c r="T133" i="8"/>
  <c r="BE133" i="8"/>
  <c r="BF133" i="8"/>
  <c r="BG133" i="8"/>
  <c r="BH133" i="8"/>
  <c r="BI133" i="8"/>
  <c r="BK133" i="8"/>
  <c r="J134" i="8"/>
  <c r="BF134" i="8" s="1"/>
  <c r="P134" i="8"/>
  <c r="R134" i="8"/>
  <c r="T134" i="8"/>
  <c r="BE134" i="8"/>
  <c r="BG134" i="8"/>
  <c r="BH134" i="8"/>
  <c r="BI134" i="8"/>
  <c r="BK134" i="8"/>
  <c r="J135" i="8"/>
  <c r="P135" i="8"/>
  <c r="R135" i="8"/>
  <c r="T135" i="8"/>
  <c r="BE135" i="8"/>
  <c r="BF135" i="8"/>
  <c r="BG135" i="8"/>
  <c r="BH135" i="8"/>
  <c r="BI135" i="8"/>
  <c r="BK135" i="8"/>
  <c r="J136" i="8"/>
  <c r="P136" i="8"/>
  <c r="R136" i="8"/>
  <c r="T136" i="8"/>
  <c r="BE136" i="8"/>
  <c r="BF136" i="8"/>
  <c r="BG136" i="8"/>
  <c r="BH136" i="8"/>
  <c r="BI136" i="8"/>
  <c r="BK136" i="8"/>
  <c r="J137" i="8"/>
  <c r="BF137" i="8" s="1"/>
  <c r="P137" i="8"/>
  <c r="R137" i="8"/>
  <c r="T137" i="8"/>
  <c r="BE137" i="8"/>
  <c r="BG137" i="8"/>
  <c r="BH137" i="8"/>
  <c r="BI137" i="8"/>
  <c r="BK137" i="8"/>
  <c r="J138" i="8"/>
  <c r="P138" i="8"/>
  <c r="R138" i="8"/>
  <c r="T138" i="8"/>
  <c r="BE138" i="8"/>
  <c r="BF138" i="8"/>
  <c r="BG138" i="8"/>
  <c r="BH138" i="8"/>
  <c r="BI138" i="8"/>
  <c r="BK138" i="8"/>
  <c r="J139" i="8"/>
  <c r="P139" i="8"/>
  <c r="R139" i="8"/>
  <c r="T139" i="8"/>
  <c r="BE139" i="8"/>
  <c r="BF139" i="8"/>
  <c r="BG139" i="8"/>
  <c r="BH139" i="8"/>
  <c r="BI139" i="8"/>
  <c r="BK139" i="8"/>
  <c r="J140" i="8"/>
  <c r="BF140" i="8" s="1"/>
  <c r="P140" i="8"/>
  <c r="R140" i="8"/>
  <c r="T140" i="8"/>
  <c r="BE140" i="8"/>
  <c r="BG140" i="8"/>
  <c r="BH140" i="8"/>
  <c r="BI140" i="8"/>
  <c r="BK140" i="8"/>
  <c r="J141" i="8"/>
  <c r="P141" i="8"/>
  <c r="R141" i="8"/>
  <c r="T141" i="8"/>
  <c r="BE141" i="8"/>
  <c r="BF141" i="8"/>
  <c r="BG141" i="8"/>
  <c r="BH141" i="8"/>
  <c r="BI141" i="8"/>
  <c r="BK141" i="8"/>
  <c r="J142" i="8"/>
  <c r="P142" i="8"/>
  <c r="R142" i="8"/>
  <c r="T142" i="8"/>
  <c r="BE142" i="8"/>
  <c r="BF142" i="8"/>
  <c r="BG142" i="8"/>
  <c r="BH142" i="8"/>
  <c r="BI142" i="8"/>
  <c r="BK142" i="8"/>
  <c r="J143" i="8"/>
  <c r="BF143" i="8" s="1"/>
  <c r="P143" i="8"/>
  <c r="R143" i="8"/>
  <c r="T143" i="8"/>
  <c r="BE143" i="8"/>
  <c r="BG143" i="8"/>
  <c r="BH143" i="8"/>
  <c r="BI143" i="8"/>
  <c r="BK143" i="8"/>
  <c r="J144" i="8"/>
  <c r="P144" i="8"/>
  <c r="R144" i="8"/>
  <c r="T144" i="8"/>
  <c r="BE144" i="8"/>
  <c r="BF144" i="8"/>
  <c r="BG144" i="8"/>
  <c r="BH144" i="8"/>
  <c r="BI144" i="8"/>
  <c r="BK144" i="8"/>
  <c r="J145" i="8"/>
  <c r="P145" i="8"/>
  <c r="R145" i="8"/>
  <c r="T145" i="8"/>
  <c r="BE145" i="8"/>
  <c r="BF145" i="8"/>
  <c r="BG145" i="8"/>
  <c r="BH145" i="8"/>
  <c r="BI145" i="8"/>
  <c r="BK145" i="8"/>
  <c r="J146" i="8"/>
  <c r="BF146" i="8" s="1"/>
  <c r="P146" i="8"/>
  <c r="R146" i="8"/>
  <c r="T146" i="8"/>
  <c r="BE146" i="8"/>
  <c r="BG146" i="8"/>
  <c r="BH146" i="8"/>
  <c r="BI146" i="8"/>
  <c r="BK146" i="8"/>
  <c r="J147" i="8"/>
  <c r="P147" i="8"/>
  <c r="R147" i="8"/>
  <c r="T147" i="8"/>
  <c r="BE147" i="8"/>
  <c r="BF147" i="8"/>
  <c r="BG147" i="8"/>
  <c r="BH147" i="8"/>
  <c r="BI147" i="8"/>
  <c r="BK147" i="8"/>
  <c r="J148" i="8"/>
  <c r="P148" i="8"/>
  <c r="R148" i="8"/>
  <c r="T148" i="8"/>
  <c r="BE148" i="8"/>
  <c r="BF148" i="8"/>
  <c r="BG148" i="8"/>
  <c r="BH148" i="8"/>
  <c r="BI148" i="8"/>
  <c r="BK148" i="8"/>
  <c r="J150" i="8"/>
  <c r="BF150" i="8" s="1"/>
  <c r="P150" i="8"/>
  <c r="R150" i="8"/>
  <c r="T150" i="8"/>
  <c r="BE150" i="8"/>
  <c r="BG150" i="8"/>
  <c r="BH150" i="8"/>
  <c r="BI150" i="8"/>
  <c r="BK150" i="8"/>
  <c r="J151" i="8"/>
  <c r="P151" i="8"/>
  <c r="R151" i="8"/>
  <c r="T151" i="8"/>
  <c r="BE151" i="8"/>
  <c r="BF151" i="8"/>
  <c r="BG151" i="8"/>
  <c r="BH151" i="8"/>
  <c r="BI151" i="8"/>
  <c r="BK151" i="8"/>
  <c r="J152" i="8"/>
  <c r="P152" i="8"/>
  <c r="R152" i="8"/>
  <c r="T152" i="8"/>
  <c r="BE152" i="8"/>
  <c r="BF152" i="8"/>
  <c r="BG152" i="8"/>
  <c r="BH152" i="8"/>
  <c r="BI152" i="8"/>
  <c r="BK152" i="8"/>
  <c r="J153" i="8"/>
  <c r="BF153" i="8" s="1"/>
  <c r="P153" i="8"/>
  <c r="R153" i="8"/>
  <c r="T153" i="8"/>
  <c r="BE153" i="8"/>
  <c r="BG153" i="8"/>
  <c r="BH153" i="8"/>
  <c r="BI153" i="8"/>
  <c r="BK153" i="8"/>
  <c r="J154" i="8"/>
  <c r="P154" i="8"/>
  <c r="R154" i="8"/>
  <c r="T154" i="8"/>
  <c r="BE154" i="8"/>
  <c r="BF154" i="8"/>
  <c r="BG154" i="8"/>
  <c r="BH154" i="8"/>
  <c r="BI154" i="8"/>
  <c r="BK154" i="8"/>
  <c r="J155" i="8"/>
  <c r="P155" i="8"/>
  <c r="R155" i="8"/>
  <c r="T155" i="8"/>
  <c r="BE155" i="8"/>
  <c r="BF155" i="8"/>
  <c r="BG155" i="8"/>
  <c r="BH155" i="8"/>
  <c r="BI155" i="8"/>
  <c r="BK155" i="8"/>
  <c r="J156" i="8"/>
  <c r="BF156" i="8" s="1"/>
  <c r="P156" i="8"/>
  <c r="R156" i="8"/>
  <c r="T156" i="8"/>
  <c r="BE156" i="8"/>
  <c r="BG156" i="8"/>
  <c r="BH156" i="8"/>
  <c r="BI156" i="8"/>
  <c r="BK156" i="8"/>
  <c r="J157" i="8"/>
  <c r="P157" i="8"/>
  <c r="R157" i="8"/>
  <c r="T157" i="8"/>
  <c r="BE157" i="8"/>
  <c r="BF157" i="8"/>
  <c r="BG157" i="8"/>
  <c r="BH157" i="8"/>
  <c r="BI157" i="8"/>
  <c r="BK157" i="8"/>
  <c r="J158" i="8"/>
  <c r="P158" i="8"/>
  <c r="R158" i="8"/>
  <c r="T158" i="8"/>
  <c r="BE158" i="8"/>
  <c r="BF158" i="8"/>
  <c r="BG158" i="8"/>
  <c r="BH158" i="8"/>
  <c r="BI158" i="8"/>
  <c r="BK158" i="8"/>
  <c r="J159" i="8"/>
  <c r="BF159" i="8" s="1"/>
  <c r="P159" i="8"/>
  <c r="R159" i="8"/>
  <c r="T159" i="8"/>
  <c r="BE159" i="8"/>
  <c r="BG159" i="8"/>
  <c r="BH159" i="8"/>
  <c r="BI159" i="8"/>
  <c r="BK159" i="8"/>
  <c r="J160" i="8"/>
  <c r="P160" i="8"/>
  <c r="R160" i="8"/>
  <c r="T160" i="8"/>
  <c r="BE160" i="8"/>
  <c r="BF160" i="8"/>
  <c r="BG160" i="8"/>
  <c r="BH160" i="8"/>
  <c r="BI160" i="8"/>
  <c r="BK160" i="8"/>
  <c r="J161" i="8"/>
  <c r="P161" i="8"/>
  <c r="R161" i="8"/>
  <c r="T161" i="8"/>
  <c r="BE161" i="8"/>
  <c r="BF161" i="8"/>
  <c r="BG161" i="8"/>
  <c r="BH161" i="8"/>
  <c r="BI161" i="8"/>
  <c r="BK161" i="8"/>
  <c r="J162" i="8"/>
  <c r="BF162" i="8" s="1"/>
  <c r="P162" i="8"/>
  <c r="R162" i="8"/>
  <c r="T162" i="8"/>
  <c r="BE162" i="8"/>
  <c r="BG162" i="8"/>
  <c r="BH162" i="8"/>
  <c r="BI162" i="8"/>
  <c r="BK162" i="8"/>
  <c r="J163" i="8"/>
  <c r="P163" i="8"/>
  <c r="R163" i="8"/>
  <c r="T163" i="8"/>
  <c r="BE163" i="8"/>
  <c r="BF163" i="8"/>
  <c r="BG163" i="8"/>
  <c r="BH163" i="8"/>
  <c r="BI163" i="8"/>
  <c r="BK163" i="8"/>
  <c r="J164" i="8"/>
  <c r="P164" i="8"/>
  <c r="R164" i="8"/>
  <c r="T164" i="8"/>
  <c r="BE164" i="8"/>
  <c r="BF164" i="8"/>
  <c r="BG164" i="8"/>
  <c r="BH164" i="8"/>
  <c r="BI164" i="8"/>
  <c r="BK164" i="8"/>
  <c r="J165" i="8"/>
  <c r="BF165" i="8" s="1"/>
  <c r="P165" i="8"/>
  <c r="R165" i="8"/>
  <c r="T165" i="8"/>
  <c r="BE165" i="8"/>
  <c r="BG165" i="8"/>
  <c r="BH165" i="8"/>
  <c r="BI165" i="8"/>
  <c r="BK165" i="8"/>
  <c r="J166" i="8"/>
  <c r="P166" i="8"/>
  <c r="R166" i="8"/>
  <c r="T166" i="8"/>
  <c r="BE166" i="8"/>
  <c r="BF166" i="8"/>
  <c r="BG166" i="8"/>
  <c r="BH166" i="8"/>
  <c r="BI166" i="8"/>
  <c r="BK166" i="8"/>
  <c r="J168" i="8"/>
  <c r="P168" i="8"/>
  <c r="R168" i="8"/>
  <c r="T168" i="8"/>
  <c r="BE168" i="8"/>
  <c r="BF168" i="8"/>
  <c r="BG168" i="8"/>
  <c r="BH168" i="8"/>
  <c r="BI168" i="8"/>
  <c r="BK168" i="8"/>
  <c r="J169" i="8"/>
  <c r="BF169" i="8" s="1"/>
  <c r="P169" i="8"/>
  <c r="R169" i="8"/>
  <c r="T169" i="8"/>
  <c r="BE169" i="8"/>
  <c r="BG169" i="8"/>
  <c r="BH169" i="8"/>
  <c r="BI169" i="8"/>
  <c r="BK169" i="8"/>
  <c r="J170" i="8"/>
  <c r="P170" i="8"/>
  <c r="R170" i="8"/>
  <c r="T170" i="8"/>
  <c r="BE170" i="8"/>
  <c r="BF170" i="8"/>
  <c r="BG170" i="8"/>
  <c r="BH170" i="8"/>
  <c r="BI170" i="8"/>
  <c r="BK170" i="8"/>
  <c r="J171" i="8"/>
  <c r="P171" i="8"/>
  <c r="R171" i="8"/>
  <c r="T171" i="8"/>
  <c r="BE171" i="8"/>
  <c r="BF171" i="8"/>
  <c r="BG171" i="8"/>
  <c r="BH171" i="8"/>
  <c r="BI171" i="8"/>
  <c r="BK171" i="8"/>
  <c r="J172" i="8"/>
  <c r="BF172" i="8" s="1"/>
  <c r="P172" i="8"/>
  <c r="R172" i="8"/>
  <c r="T172" i="8"/>
  <c r="BE172" i="8"/>
  <c r="BG172" i="8"/>
  <c r="BH172" i="8"/>
  <c r="BI172" i="8"/>
  <c r="BK172" i="8"/>
  <c r="J173" i="8"/>
  <c r="P173" i="8"/>
  <c r="R173" i="8"/>
  <c r="T173" i="8"/>
  <c r="BE173" i="8"/>
  <c r="BF173" i="8"/>
  <c r="BG173" i="8"/>
  <c r="BH173" i="8"/>
  <c r="BI173" i="8"/>
  <c r="BK173" i="8"/>
  <c r="J174" i="8"/>
  <c r="P174" i="8"/>
  <c r="R174" i="8"/>
  <c r="T174" i="8"/>
  <c r="BE174" i="8"/>
  <c r="BF174" i="8"/>
  <c r="BG174" i="8"/>
  <c r="BH174" i="8"/>
  <c r="BI174" i="8"/>
  <c r="BK174" i="8"/>
  <c r="J175" i="8"/>
  <c r="BF175" i="8" s="1"/>
  <c r="P175" i="8"/>
  <c r="R175" i="8"/>
  <c r="T175" i="8"/>
  <c r="BE175" i="8"/>
  <c r="BG175" i="8"/>
  <c r="BH175" i="8"/>
  <c r="BI175" i="8"/>
  <c r="BK175" i="8"/>
  <c r="J176" i="8"/>
  <c r="P176" i="8"/>
  <c r="R176" i="8"/>
  <c r="T176" i="8"/>
  <c r="BE176" i="8"/>
  <c r="BF176" i="8"/>
  <c r="BG176" i="8"/>
  <c r="BH176" i="8"/>
  <c r="BI176" i="8"/>
  <c r="BK176" i="8"/>
  <c r="J177" i="8"/>
  <c r="P177" i="8"/>
  <c r="R177" i="8"/>
  <c r="T177" i="8"/>
  <c r="BE177" i="8"/>
  <c r="BF177" i="8"/>
  <c r="BG177" i="8"/>
  <c r="BH177" i="8"/>
  <c r="BI177" i="8"/>
  <c r="BK177" i="8"/>
  <c r="J178" i="8"/>
  <c r="BF178" i="8" s="1"/>
  <c r="P178" i="8"/>
  <c r="R178" i="8"/>
  <c r="T178" i="8"/>
  <c r="BE178" i="8"/>
  <c r="BG178" i="8"/>
  <c r="BH178" i="8"/>
  <c r="BI178" i="8"/>
  <c r="BK178" i="8"/>
  <c r="P179" i="8"/>
  <c r="R179" i="8"/>
  <c r="T179" i="8"/>
  <c r="J180" i="8"/>
  <c r="BF180" i="8" s="1"/>
  <c r="P180" i="8"/>
  <c r="R180" i="8"/>
  <c r="T180" i="8"/>
  <c r="BE180" i="8"/>
  <c r="BG180" i="8"/>
  <c r="BH180" i="8"/>
  <c r="BI180" i="8"/>
  <c r="BK180" i="8"/>
  <c r="BK179" i="8" s="1"/>
  <c r="J179" i="8" s="1"/>
  <c r="J99" i="8" s="1"/>
  <c r="J89" i="7"/>
  <c r="F91" i="7"/>
  <c r="J91" i="7"/>
  <c r="J92" i="7"/>
  <c r="F33" i="7"/>
  <c r="J33" i="7"/>
  <c r="J35" i="7"/>
  <c r="J36" i="7"/>
  <c r="J37" i="7"/>
  <c r="E85" i="7"/>
  <c r="E87" i="7"/>
  <c r="F89" i="7"/>
  <c r="F92" i="7"/>
  <c r="E109" i="7"/>
  <c r="E111" i="7"/>
  <c r="F113" i="7"/>
  <c r="F116" i="7"/>
  <c r="J116" i="7"/>
  <c r="R121" i="7"/>
  <c r="R120" i="7" s="1"/>
  <c r="R119" i="7" s="1"/>
  <c r="J122" i="7"/>
  <c r="BF122" i="7" s="1"/>
  <c r="P122" i="7"/>
  <c r="R122" i="7"/>
  <c r="T122" i="7"/>
  <c r="T121" i="7" s="1"/>
  <c r="T120" i="7" s="1"/>
  <c r="T119" i="7" s="1"/>
  <c r="BE122" i="7"/>
  <c r="BG122" i="7"/>
  <c r="F35" i="7" s="1"/>
  <c r="BH122" i="7"/>
  <c r="BI122" i="7"/>
  <c r="F37" i="7" s="1"/>
  <c r="BK122" i="7"/>
  <c r="BK121" i="7" s="1"/>
  <c r="J123" i="7"/>
  <c r="P123" i="7"/>
  <c r="R123" i="7"/>
  <c r="T123" i="7"/>
  <c r="BE123" i="7"/>
  <c r="BF123" i="7"/>
  <c r="BG123" i="7"/>
  <c r="BH123" i="7"/>
  <c r="BI123" i="7"/>
  <c r="BK123" i="7"/>
  <c r="J124" i="7"/>
  <c r="BF124" i="7" s="1"/>
  <c r="P124" i="7"/>
  <c r="P121" i="7" s="1"/>
  <c r="P120" i="7" s="1"/>
  <c r="P119" i="7" s="1"/>
  <c r="R124" i="7"/>
  <c r="T124" i="7"/>
  <c r="BE124" i="7"/>
  <c r="BG124" i="7"/>
  <c r="BH124" i="7"/>
  <c r="F36" i="7" s="1"/>
  <c r="BI124" i="7"/>
  <c r="BK124" i="7"/>
  <c r="J125" i="7"/>
  <c r="BF125" i="7" s="1"/>
  <c r="P125" i="7"/>
  <c r="R125" i="7"/>
  <c r="T125" i="7"/>
  <c r="BE125" i="7"/>
  <c r="BG125" i="7"/>
  <c r="BH125" i="7"/>
  <c r="BI125" i="7"/>
  <c r="BK125" i="7"/>
  <c r="J126" i="7"/>
  <c r="P126" i="7"/>
  <c r="R126" i="7"/>
  <c r="T126" i="7"/>
  <c r="BE126" i="7"/>
  <c r="BF126" i="7"/>
  <c r="BG126" i="7"/>
  <c r="BH126" i="7"/>
  <c r="BI126" i="7"/>
  <c r="BK126" i="7"/>
  <c r="J127" i="7"/>
  <c r="BF127" i="7" s="1"/>
  <c r="P127" i="7"/>
  <c r="R127" i="7"/>
  <c r="T127" i="7"/>
  <c r="BE127" i="7"/>
  <c r="BG127" i="7"/>
  <c r="BH127" i="7"/>
  <c r="BI127" i="7"/>
  <c r="BK127" i="7"/>
  <c r="J128" i="7"/>
  <c r="BF128" i="7" s="1"/>
  <c r="P128" i="7"/>
  <c r="R128" i="7"/>
  <c r="T128" i="7"/>
  <c r="BE128" i="7"/>
  <c r="BG128" i="7"/>
  <c r="BH128" i="7"/>
  <c r="BI128" i="7"/>
  <c r="BK128" i="7"/>
  <c r="J129" i="7"/>
  <c r="P129" i="7"/>
  <c r="R129" i="7"/>
  <c r="T129" i="7"/>
  <c r="BE129" i="7"/>
  <c r="BF129" i="7"/>
  <c r="BG129" i="7"/>
  <c r="BH129" i="7"/>
  <c r="BI129" i="7"/>
  <c r="BK129" i="7"/>
  <c r="J130" i="7"/>
  <c r="BF130" i="7" s="1"/>
  <c r="P130" i="7"/>
  <c r="R130" i="7"/>
  <c r="T130" i="7"/>
  <c r="BE130" i="7"/>
  <c r="BG130" i="7"/>
  <c r="BH130" i="7"/>
  <c r="BI130" i="7"/>
  <c r="BK130" i="7"/>
  <c r="J131" i="7"/>
  <c r="BF131" i="7" s="1"/>
  <c r="P131" i="7"/>
  <c r="R131" i="7"/>
  <c r="T131" i="7"/>
  <c r="BE131" i="7"/>
  <c r="BG131" i="7"/>
  <c r="BH131" i="7"/>
  <c r="BI131" i="7"/>
  <c r="BK131" i="7"/>
  <c r="J132" i="7"/>
  <c r="P132" i="7"/>
  <c r="R132" i="7"/>
  <c r="T132" i="7"/>
  <c r="BE132" i="7"/>
  <c r="BF132" i="7"/>
  <c r="BG132" i="7"/>
  <c r="BH132" i="7"/>
  <c r="BI132" i="7"/>
  <c r="BK132" i="7"/>
  <c r="J133" i="7"/>
  <c r="BF133" i="7" s="1"/>
  <c r="P133" i="7"/>
  <c r="R133" i="7"/>
  <c r="T133" i="7"/>
  <c r="BE133" i="7"/>
  <c r="BG133" i="7"/>
  <c r="BH133" i="7"/>
  <c r="BI133" i="7"/>
  <c r="BK133" i="7"/>
  <c r="J134" i="7"/>
  <c r="BF134" i="7" s="1"/>
  <c r="P134" i="7"/>
  <c r="R134" i="7"/>
  <c r="T134" i="7"/>
  <c r="BE134" i="7"/>
  <c r="BG134" i="7"/>
  <c r="BH134" i="7"/>
  <c r="BI134" i="7"/>
  <c r="BK134" i="7"/>
  <c r="J135" i="7"/>
  <c r="P135" i="7"/>
  <c r="R135" i="7"/>
  <c r="T135" i="7"/>
  <c r="BE135" i="7"/>
  <c r="BF135" i="7"/>
  <c r="BG135" i="7"/>
  <c r="BH135" i="7"/>
  <c r="BI135" i="7"/>
  <c r="BK135" i="7"/>
  <c r="J136" i="7"/>
  <c r="BF136" i="7" s="1"/>
  <c r="P136" i="7"/>
  <c r="R136" i="7"/>
  <c r="T136" i="7"/>
  <c r="BE136" i="7"/>
  <c r="BG136" i="7"/>
  <c r="BH136" i="7"/>
  <c r="BI136" i="7"/>
  <c r="BK136" i="7"/>
  <c r="J137" i="7"/>
  <c r="BF137" i="7" s="1"/>
  <c r="P137" i="7"/>
  <c r="R137" i="7"/>
  <c r="T137" i="7"/>
  <c r="BE137" i="7"/>
  <c r="BG137" i="7"/>
  <c r="BH137" i="7"/>
  <c r="BI137" i="7"/>
  <c r="BK137" i="7"/>
  <c r="J138" i="7"/>
  <c r="P138" i="7"/>
  <c r="R138" i="7"/>
  <c r="T138" i="7"/>
  <c r="BE138" i="7"/>
  <c r="BF138" i="7"/>
  <c r="BG138" i="7"/>
  <c r="BH138" i="7"/>
  <c r="BI138" i="7"/>
  <c r="BK138" i="7"/>
  <c r="J139" i="7"/>
  <c r="BF139" i="7" s="1"/>
  <c r="P139" i="7"/>
  <c r="R139" i="7"/>
  <c r="T139" i="7"/>
  <c r="BE139" i="7"/>
  <c r="BG139" i="7"/>
  <c r="BH139" i="7"/>
  <c r="BI139" i="7"/>
  <c r="BK139" i="7"/>
  <c r="J140" i="7"/>
  <c r="BF140" i="7" s="1"/>
  <c r="P140" i="7"/>
  <c r="R140" i="7"/>
  <c r="T140" i="7"/>
  <c r="BE140" i="7"/>
  <c r="BG140" i="7"/>
  <c r="BH140" i="7"/>
  <c r="BI140" i="7"/>
  <c r="BK140" i="7"/>
  <c r="J141" i="7"/>
  <c r="P141" i="7"/>
  <c r="R141" i="7"/>
  <c r="T141" i="7"/>
  <c r="BE141" i="7"/>
  <c r="BF141" i="7"/>
  <c r="BG141" i="7"/>
  <c r="BH141" i="7"/>
  <c r="BI141" i="7"/>
  <c r="BK141" i="7"/>
  <c r="J142" i="7"/>
  <c r="BF142" i="7" s="1"/>
  <c r="P142" i="7"/>
  <c r="R142" i="7"/>
  <c r="T142" i="7"/>
  <c r="BE142" i="7"/>
  <c r="BG142" i="7"/>
  <c r="BH142" i="7"/>
  <c r="BI142" i="7"/>
  <c r="BK142" i="7"/>
  <c r="J143" i="7"/>
  <c r="BF143" i="7" s="1"/>
  <c r="P143" i="7"/>
  <c r="R143" i="7"/>
  <c r="T143" i="7"/>
  <c r="BE143" i="7"/>
  <c r="BG143" i="7"/>
  <c r="BH143" i="7"/>
  <c r="BI143" i="7"/>
  <c r="BK143" i="7"/>
  <c r="J144" i="7"/>
  <c r="P144" i="7"/>
  <c r="R144" i="7"/>
  <c r="T144" i="7"/>
  <c r="BE144" i="7"/>
  <c r="BF144" i="7"/>
  <c r="BG144" i="7"/>
  <c r="BH144" i="7"/>
  <c r="BI144" i="7"/>
  <c r="BK144" i="7"/>
  <c r="J145" i="7"/>
  <c r="BF145" i="7" s="1"/>
  <c r="P145" i="7"/>
  <c r="R145" i="7"/>
  <c r="T145" i="7"/>
  <c r="BE145" i="7"/>
  <c r="BG145" i="7"/>
  <c r="BH145" i="7"/>
  <c r="BI145" i="7"/>
  <c r="BK145" i="7"/>
  <c r="J146" i="7"/>
  <c r="BF146" i="7" s="1"/>
  <c r="P146" i="7"/>
  <c r="R146" i="7"/>
  <c r="T146" i="7"/>
  <c r="BE146" i="7"/>
  <c r="BG146" i="7"/>
  <c r="BH146" i="7"/>
  <c r="BI146" i="7"/>
  <c r="BK146" i="7"/>
  <c r="J147" i="7"/>
  <c r="P147" i="7"/>
  <c r="R147" i="7"/>
  <c r="T147" i="7"/>
  <c r="BE147" i="7"/>
  <c r="BF147" i="7"/>
  <c r="BG147" i="7"/>
  <c r="BH147" i="7"/>
  <c r="BI147" i="7"/>
  <c r="BK147" i="7"/>
  <c r="J148" i="7"/>
  <c r="BF148" i="7" s="1"/>
  <c r="P148" i="7"/>
  <c r="R148" i="7"/>
  <c r="T148" i="7"/>
  <c r="BE148" i="7"/>
  <c r="BG148" i="7"/>
  <c r="BH148" i="7"/>
  <c r="BI148" i="7"/>
  <c r="BK148" i="7"/>
  <c r="J150" i="7"/>
  <c r="BF150" i="7" s="1"/>
  <c r="P150" i="7"/>
  <c r="R150" i="7"/>
  <c r="T150" i="7"/>
  <c r="BE150" i="7"/>
  <c r="BG150" i="7"/>
  <c r="BH150" i="7"/>
  <c r="BI150" i="7"/>
  <c r="BK150" i="7"/>
  <c r="J151" i="7"/>
  <c r="P151" i="7"/>
  <c r="R151" i="7"/>
  <c r="T151" i="7"/>
  <c r="BE151" i="7"/>
  <c r="BF151" i="7"/>
  <c r="BG151" i="7"/>
  <c r="BH151" i="7"/>
  <c r="BI151" i="7"/>
  <c r="BK151" i="7"/>
  <c r="J152" i="7"/>
  <c r="BF152" i="7" s="1"/>
  <c r="P152" i="7"/>
  <c r="R152" i="7"/>
  <c r="T152" i="7"/>
  <c r="BE152" i="7"/>
  <c r="BG152" i="7"/>
  <c r="BH152" i="7"/>
  <c r="BI152" i="7"/>
  <c r="BK152" i="7"/>
  <c r="J153" i="7"/>
  <c r="BF153" i="7" s="1"/>
  <c r="P153" i="7"/>
  <c r="R153" i="7"/>
  <c r="T153" i="7"/>
  <c r="BE153" i="7"/>
  <c r="BG153" i="7"/>
  <c r="BH153" i="7"/>
  <c r="BI153" i="7"/>
  <c r="BK153" i="7"/>
  <c r="J154" i="7"/>
  <c r="P154" i="7"/>
  <c r="R154" i="7"/>
  <c r="T154" i="7"/>
  <c r="BE154" i="7"/>
  <c r="BF154" i="7"/>
  <c r="BG154" i="7"/>
  <c r="BH154" i="7"/>
  <c r="BI154" i="7"/>
  <c r="BK154" i="7"/>
  <c r="J155" i="7"/>
  <c r="BF155" i="7" s="1"/>
  <c r="P155" i="7"/>
  <c r="R155" i="7"/>
  <c r="T155" i="7"/>
  <c r="BE155" i="7"/>
  <c r="BG155" i="7"/>
  <c r="BH155" i="7"/>
  <c r="BI155" i="7"/>
  <c r="BK155" i="7"/>
  <c r="J156" i="7"/>
  <c r="BF156" i="7" s="1"/>
  <c r="P156" i="7"/>
  <c r="R156" i="7"/>
  <c r="T156" i="7"/>
  <c r="BE156" i="7"/>
  <c r="BG156" i="7"/>
  <c r="BH156" i="7"/>
  <c r="BI156" i="7"/>
  <c r="BK156" i="7"/>
  <c r="J157" i="7"/>
  <c r="P157" i="7"/>
  <c r="R157" i="7"/>
  <c r="T157" i="7"/>
  <c r="BE157" i="7"/>
  <c r="BF157" i="7"/>
  <c r="BG157" i="7"/>
  <c r="BH157" i="7"/>
  <c r="BI157" i="7"/>
  <c r="BK157" i="7"/>
  <c r="J158" i="7"/>
  <c r="BF158" i="7" s="1"/>
  <c r="P158" i="7"/>
  <c r="R158" i="7"/>
  <c r="T158" i="7"/>
  <c r="BE158" i="7"/>
  <c r="BG158" i="7"/>
  <c r="BH158" i="7"/>
  <c r="BI158" i="7"/>
  <c r="BK158" i="7"/>
  <c r="J159" i="7"/>
  <c r="BF159" i="7" s="1"/>
  <c r="P159" i="7"/>
  <c r="R159" i="7"/>
  <c r="T159" i="7"/>
  <c r="BE159" i="7"/>
  <c r="BG159" i="7"/>
  <c r="BH159" i="7"/>
  <c r="BI159" i="7"/>
  <c r="BK159" i="7"/>
  <c r="J160" i="7"/>
  <c r="P160" i="7"/>
  <c r="R160" i="7"/>
  <c r="T160" i="7"/>
  <c r="BE160" i="7"/>
  <c r="BF160" i="7"/>
  <c r="BG160" i="7"/>
  <c r="BH160" i="7"/>
  <c r="BI160" i="7"/>
  <c r="BK160" i="7"/>
  <c r="J161" i="7"/>
  <c r="BF161" i="7" s="1"/>
  <c r="P161" i="7"/>
  <c r="R161" i="7"/>
  <c r="T161" i="7"/>
  <c r="BE161" i="7"/>
  <c r="BG161" i="7"/>
  <c r="BH161" i="7"/>
  <c r="BI161" i="7"/>
  <c r="BK161" i="7"/>
  <c r="J162" i="7"/>
  <c r="BF162" i="7" s="1"/>
  <c r="P162" i="7"/>
  <c r="R162" i="7"/>
  <c r="T162" i="7"/>
  <c r="BE162" i="7"/>
  <c r="BG162" i="7"/>
  <c r="BH162" i="7"/>
  <c r="BI162" i="7"/>
  <c r="BK162" i="7"/>
  <c r="J163" i="7"/>
  <c r="P163" i="7"/>
  <c r="R163" i="7"/>
  <c r="T163" i="7"/>
  <c r="BE163" i="7"/>
  <c r="BF163" i="7"/>
  <c r="BG163" i="7"/>
  <c r="BH163" i="7"/>
  <c r="BI163" i="7"/>
  <c r="BK163" i="7"/>
  <c r="J164" i="7"/>
  <c r="BF164" i="7" s="1"/>
  <c r="P164" i="7"/>
  <c r="R164" i="7"/>
  <c r="T164" i="7"/>
  <c r="BE164" i="7"/>
  <c r="BG164" i="7"/>
  <c r="BH164" i="7"/>
  <c r="BI164" i="7"/>
  <c r="BK164" i="7"/>
  <c r="J165" i="7"/>
  <c r="BF165" i="7" s="1"/>
  <c r="P165" i="7"/>
  <c r="R165" i="7"/>
  <c r="T165" i="7"/>
  <c r="BE165" i="7"/>
  <c r="BG165" i="7"/>
  <c r="BH165" i="7"/>
  <c r="BI165" i="7"/>
  <c r="BK165" i="7"/>
  <c r="J166" i="7"/>
  <c r="P166" i="7"/>
  <c r="R166" i="7"/>
  <c r="T166" i="7"/>
  <c r="BE166" i="7"/>
  <c r="BF166" i="7"/>
  <c r="BG166" i="7"/>
  <c r="BH166" i="7"/>
  <c r="BI166" i="7"/>
  <c r="BK166" i="7"/>
  <c r="J168" i="7"/>
  <c r="BF168" i="7" s="1"/>
  <c r="P168" i="7"/>
  <c r="R168" i="7"/>
  <c r="T168" i="7"/>
  <c r="BE168" i="7"/>
  <c r="BG168" i="7"/>
  <c r="BH168" i="7"/>
  <c r="BI168" i="7"/>
  <c r="BK168" i="7"/>
  <c r="J169" i="7"/>
  <c r="P169" i="7"/>
  <c r="R169" i="7"/>
  <c r="T169" i="7"/>
  <c r="BE169" i="7"/>
  <c r="BF169" i="7"/>
  <c r="BG169" i="7"/>
  <c r="BH169" i="7"/>
  <c r="BI169" i="7"/>
  <c r="BK169" i="7"/>
  <c r="J170" i="7"/>
  <c r="P170" i="7"/>
  <c r="R170" i="7"/>
  <c r="T170" i="7"/>
  <c r="BE170" i="7"/>
  <c r="BF170" i="7"/>
  <c r="BG170" i="7"/>
  <c r="BH170" i="7"/>
  <c r="BI170" i="7"/>
  <c r="BK170" i="7"/>
  <c r="J171" i="7"/>
  <c r="BF171" i="7" s="1"/>
  <c r="P171" i="7"/>
  <c r="R171" i="7"/>
  <c r="T171" i="7"/>
  <c r="BE171" i="7"/>
  <c r="BG171" i="7"/>
  <c r="BH171" i="7"/>
  <c r="BI171" i="7"/>
  <c r="BK171" i="7"/>
  <c r="J172" i="7"/>
  <c r="P172" i="7"/>
  <c r="R172" i="7"/>
  <c r="T172" i="7"/>
  <c r="BE172" i="7"/>
  <c r="BF172" i="7"/>
  <c r="BG172" i="7"/>
  <c r="BH172" i="7"/>
  <c r="BI172" i="7"/>
  <c r="BK172" i="7"/>
  <c r="J173" i="7"/>
  <c r="P173" i="7"/>
  <c r="R173" i="7"/>
  <c r="T173" i="7"/>
  <c r="BE173" i="7"/>
  <c r="BF173" i="7"/>
  <c r="BG173" i="7"/>
  <c r="BH173" i="7"/>
  <c r="BI173" i="7"/>
  <c r="BK173" i="7"/>
  <c r="J174" i="7"/>
  <c r="BF174" i="7" s="1"/>
  <c r="P174" i="7"/>
  <c r="R174" i="7"/>
  <c r="T174" i="7"/>
  <c r="BE174" i="7"/>
  <c r="BG174" i="7"/>
  <c r="BH174" i="7"/>
  <c r="BI174" i="7"/>
  <c r="BK174" i="7"/>
  <c r="J175" i="7"/>
  <c r="P175" i="7"/>
  <c r="R175" i="7"/>
  <c r="T175" i="7"/>
  <c r="BE175" i="7"/>
  <c r="BF175" i="7"/>
  <c r="BG175" i="7"/>
  <c r="BH175" i="7"/>
  <c r="BI175" i="7"/>
  <c r="BK175" i="7"/>
  <c r="J176" i="7"/>
  <c r="P176" i="7"/>
  <c r="R176" i="7"/>
  <c r="T176" i="7"/>
  <c r="BE176" i="7"/>
  <c r="BF176" i="7"/>
  <c r="BG176" i="7"/>
  <c r="BH176" i="7"/>
  <c r="BI176" i="7"/>
  <c r="BK176" i="7"/>
  <c r="J177" i="7"/>
  <c r="BF177" i="7" s="1"/>
  <c r="P177" i="7"/>
  <c r="R177" i="7"/>
  <c r="T177" i="7"/>
  <c r="BE177" i="7"/>
  <c r="BG177" i="7"/>
  <c r="BH177" i="7"/>
  <c r="BI177" i="7"/>
  <c r="BK177" i="7"/>
  <c r="J178" i="7"/>
  <c r="P178" i="7"/>
  <c r="R178" i="7"/>
  <c r="T178" i="7"/>
  <c r="BE178" i="7"/>
  <c r="BF178" i="7"/>
  <c r="BG178" i="7"/>
  <c r="BH178" i="7"/>
  <c r="BI178" i="7"/>
  <c r="BK178" i="7"/>
  <c r="P179" i="7"/>
  <c r="T179" i="7"/>
  <c r="BK179" i="7"/>
  <c r="J179" i="7" s="1"/>
  <c r="J99" i="7" s="1"/>
  <c r="J180" i="7"/>
  <c r="BF180" i="7" s="1"/>
  <c r="P180" i="7"/>
  <c r="R180" i="7"/>
  <c r="R179" i="7" s="1"/>
  <c r="T180" i="7"/>
  <c r="BE180" i="7"/>
  <c r="BG180" i="7"/>
  <c r="BH180" i="7"/>
  <c r="BI180" i="7"/>
  <c r="BK180" i="7"/>
  <c r="E85" i="6"/>
  <c r="J117" i="6"/>
  <c r="F119" i="6"/>
  <c r="F120" i="6"/>
  <c r="J91" i="6"/>
  <c r="J92" i="6"/>
  <c r="J35" i="6"/>
  <c r="J36" i="6"/>
  <c r="J37" i="6"/>
  <c r="E87" i="6"/>
  <c r="F89" i="6"/>
  <c r="J89" i="6"/>
  <c r="E115" i="6"/>
  <c r="F117" i="6"/>
  <c r="BK125" i="6"/>
  <c r="J125" i="6" s="1"/>
  <c r="J98" i="6" s="1"/>
  <c r="J126" i="6"/>
  <c r="BF126" i="6" s="1"/>
  <c r="P126" i="6"/>
  <c r="R126" i="6"/>
  <c r="T126" i="6"/>
  <c r="T125" i="6" s="1"/>
  <c r="BE126" i="6"/>
  <c r="F33" i="6" s="1"/>
  <c r="BG126" i="6"/>
  <c r="F35" i="6" s="1"/>
  <c r="BH126" i="6"/>
  <c r="F36" i="6" s="1"/>
  <c r="BI126" i="6"/>
  <c r="BK126" i="6"/>
  <c r="J127" i="6"/>
  <c r="P127" i="6"/>
  <c r="P125" i="6" s="1"/>
  <c r="R127" i="6"/>
  <c r="R125" i="6" s="1"/>
  <c r="T127" i="6"/>
  <c r="BE127" i="6"/>
  <c r="BF127" i="6"/>
  <c r="BG127" i="6"/>
  <c r="BH127" i="6"/>
  <c r="BI127" i="6"/>
  <c r="BK127" i="6"/>
  <c r="J129" i="6"/>
  <c r="P129" i="6"/>
  <c r="R129" i="6"/>
  <c r="R128" i="6" s="1"/>
  <c r="T129" i="6"/>
  <c r="BE129" i="6"/>
  <c r="BF129" i="6"/>
  <c r="BG129" i="6"/>
  <c r="BH129" i="6"/>
  <c r="BI129" i="6"/>
  <c r="BK129" i="6"/>
  <c r="J130" i="6"/>
  <c r="BF130" i="6" s="1"/>
  <c r="P130" i="6"/>
  <c r="P128" i="6" s="1"/>
  <c r="R130" i="6"/>
  <c r="T130" i="6"/>
  <c r="BE130" i="6"/>
  <c r="BG130" i="6"/>
  <c r="BH130" i="6"/>
  <c r="BI130" i="6"/>
  <c r="BK130" i="6"/>
  <c r="J131" i="6"/>
  <c r="BF131" i="6" s="1"/>
  <c r="P131" i="6"/>
  <c r="R131" i="6"/>
  <c r="T131" i="6"/>
  <c r="T128" i="6" s="1"/>
  <c r="BE131" i="6"/>
  <c r="BG131" i="6"/>
  <c r="BH131" i="6"/>
  <c r="BI131" i="6"/>
  <c r="BK131" i="6"/>
  <c r="BK128" i="6" s="1"/>
  <c r="J132" i="6"/>
  <c r="P132" i="6"/>
  <c r="R132" i="6"/>
  <c r="T132" i="6"/>
  <c r="BE132" i="6"/>
  <c r="J33" i="6" s="1"/>
  <c r="BF132" i="6"/>
  <c r="BG132" i="6"/>
  <c r="BH132" i="6"/>
  <c r="BI132" i="6"/>
  <c r="BK132" i="6"/>
  <c r="J133" i="6"/>
  <c r="BF133" i="6" s="1"/>
  <c r="P133" i="6"/>
  <c r="R133" i="6"/>
  <c r="T133" i="6"/>
  <c r="BE133" i="6"/>
  <c r="BG133" i="6"/>
  <c r="BH133" i="6"/>
  <c r="BI133" i="6"/>
  <c r="BK133" i="6"/>
  <c r="J134" i="6"/>
  <c r="BF134" i="6" s="1"/>
  <c r="P134" i="6"/>
  <c r="R134" i="6"/>
  <c r="T134" i="6"/>
  <c r="BE134" i="6"/>
  <c r="BG134" i="6"/>
  <c r="BH134" i="6"/>
  <c r="BI134" i="6"/>
  <c r="BK134" i="6"/>
  <c r="J135" i="6"/>
  <c r="P135" i="6"/>
  <c r="R135" i="6"/>
  <c r="T135" i="6"/>
  <c r="BE135" i="6"/>
  <c r="BF135" i="6"/>
  <c r="BG135" i="6"/>
  <c r="BH135" i="6"/>
  <c r="BI135" i="6"/>
  <c r="BK135" i="6"/>
  <c r="J136" i="6"/>
  <c r="BF136" i="6" s="1"/>
  <c r="P136" i="6"/>
  <c r="R136" i="6"/>
  <c r="T136" i="6"/>
  <c r="BE136" i="6"/>
  <c r="BG136" i="6"/>
  <c r="BH136" i="6"/>
  <c r="BI136" i="6"/>
  <c r="BK136" i="6"/>
  <c r="J137" i="6"/>
  <c r="BF137" i="6" s="1"/>
  <c r="P137" i="6"/>
  <c r="R137" i="6"/>
  <c r="T137" i="6"/>
  <c r="BE137" i="6"/>
  <c r="BG137" i="6"/>
  <c r="BH137" i="6"/>
  <c r="BI137" i="6"/>
  <c r="BK137" i="6"/>
  <c r="J138" i="6"/>
  <c r="P138" i="6"/>
  <c r="R138" i="6"/>
  <c r="T138" i="6"/>
  <c r="BE138" i="6"/>
  <c r="BF138" i="6"/>
  <c r="BG138" i="6"/>
  <c r="BH138" i="6"/>
  <c r="BI138" i="6"/>
  <c r="BK138" i="6"/>
  <c r="J139" i="6"/>
  <c r="BF139" i="6" s="1"/>
  <c r="P139" i="6"/>
  <c r="R139" i="6"/>
  <c r="T139" i="6"/>
  <c r="BE139" i="6"/>
  <c r="BG139" i="6"/>
  <c r="BH139" i="6"/>
  <c r="BI139" i="6"/>
  <c r="BK139" i="6"/>
  <c r="J140" i="6"/>
  <c r="BF140" i="6" s="1"/>
  <c r="P140" i="6"/>
  <c r="R140" i="6"/>
  <c r="T140" i="6"/>
  <c r="BE140" i="6"/>
  <c r="BG140" i="6"/>
  <c r="BH140" i="6"/>
  <c r="BI140" i="6"/>
  <c r="BK140" i="6"/>
  <c r="J141" i="6"/>
  <c r="P141" i="6"/>
  <c r="R141" i="6"/>
  <c r="T141" i="6"/>
  <c r="BE141" i="6"/>
  <c r="BF141" i="6"/>
  <c r="BG141" i="6"/>
  <c r="BH141" i="6"/>
  <c r="BI141" i="6"/>
  <c r="BK141" i="6"/>
  <c r="J142" i="6"/>
  <c r="BF142" i="6" s="1"/>
  <c r="P142" i="6"/>
  <c r="R142" i="6"/>
  <c r="T142" i="6"/>
  <c r="BE142" i="6"/>
  <c r="BG142" i="6"/>
  <c r="BH142" i="6"/>
  <c r="BI142" i="6"/>
  <c r="BK142" i="6"/>
  <c r="J143" i="6"/>
  <c r="BF143" i="6" s="1"/>
  <c r="P143" i="6"/>
  <c r="R143" i="6"/>
  <c r="T143" i="6"/>
  <c r="BE143" i="6"/>
  <c r="BG143" i="6"/>
  <c r="BH143" i="6"/>
  <c r="BI143" i="6"/>
  <c r="BK143" i="6"/>
  <c r="J144" i="6"/>
  <c r="P144" i="6"/>
  <c r="R144" i="6"/>
  <c r="T144" i="6"/>
  <c r="BE144" i="6"/>
  <c r="BF144" i="6"/>
  <c r="BG144" i="6"/>
  <c r="BH144" i="6"/>
  <c r="BI144" i="6"/>
  <c r="BK144" i="6"/>
  <c r="J145" i="6"/>
  <c r="BF145" i="6" s="1"/>
  <c r="P145" i="6"/>
  <c r="R145" i="6"/>
  <c r="T145" i="6"/>
  <c r="BE145" i="6"/>
  <c r="BG145" i="6"/>
  <c r="BH145" i="6"/>
  <c r="BI145" i="6"/>
  <c r="BK145" i="6"/>
  <c r="J146" i="6"/>
  <c r="BF146" i="6" s="1"/>
  <c r="P146" i="6"/>
  <c r="R146" i="6"/>
  <c r="T146" i="6"/>
  <c r="BE146" i="6"/>
  <c r="BG146" i="6"/>
  <c r="BH146" i="6"/>
  <c r="BI146" i="6"/>
  <c r="BK146" i="6"/>
  <c r="J147" i="6"/>
  <c r="P147" i="6"/>
  <c r="R147" i="6"/>
  <c r="T147" i="6"/>
  <c r="BE147" i="6"/>
  <c r="BF147" i="6"/>
  <c r="BG147" i="6"/>
  <c r="BH147" i="6"/>
  <c r="BI147" i="6"/>
  <c r="BK147" i="6"/>
  <c r="P148" i="6"/>
  <c r="J149" i="6"/>
  <c r="P149" i="6"/>
  <c r="R149" i="6"/>
  <c r="R148" i="6" s="1"/>
  <c r="T149" i="6"/>
  <c r="BE149" i="6"/>
  <c r="BF149" i="6"/>
  <c r="BG149" i="6"/>
  <c r="BH149" i="6"/>
  <c r="BI149" i="6"/>
  <c r="F37" i="6" s="1"/>
  <c r="BK149" i="6"/>
  <c r="J150" i="6"/>
  <c r="BF150" i="6" s="1"/>
  <c r="P150" i="6"/>
  <c r="R150" i="6"/>
  <c r="T150" i="6"/>
  <c r="T148" i="6" s="1"/>
  <c r="BE150" i="6"/>
  <c r="BG150" i="6"/>
  <c r="BH150" i="6"/>
  <c r="BI150" i="6"/>
  <c r="BK150" i="6"/>
  <c r="BK148" i="6" s="1"/>
  <c r="J148" i="6" s="1"/>
  <c r="J100" i="6" s="1"/>
  <c r="J151" i="6"/>
  <c r="BF151" i="6" s="1"/>
  <c r="P151" i="6"/>
  <c r="R151" i="6"/>
  <c r="T151" i="6"/>
  <c r="BE151" i="6"/>
  <c r="BG151" i="6"/>
  <c r="BH151" i="6"/>
  <c r="BI151" i="6"/>
  <c r="BK151" i="6"/>
  <c r="J152" i="6"/>
  <c r="P152" i="6"/>
  <c r="R152" i="6"/>
  <c r="T152" i="6"/>
  <c r="BE152" i="6"/>
  <c r="BF152" i="6"/>
  <c r="BG152" i="6"/>
  <c r="BH152" i="6"/>
  <c r="BI152" i="6"/>
  <c r="BK152" i="6"/>
  <c r="J153" i="6"/>
  <c r="BF153" i="6" s="1"/>
  <c r="P153" i="6"/>
  <c r="R153" i="6"/>
  <c r="T153" i="6"/>
  <c r="BE153" i="6"/>
  <c r="BG153" i="6"/>
  <c r="BH153" i="6"/>
  <c r="BI153" i="6"/>
  <c r="BK153" i="6"/>
  <c r="J154" i="6"/>
  <c r="BF154" i="6" s="1"/>
  <c r="P154" i="6"/>
  <c r="R154" i="6"/>
  <c r="T154" i="6"/>
  <c r="BE154" i="6"/>
  <c r="BG154" i="6"/>
  <c r="BH154" i="6"/>
  <c r="BI154" i="6"/>
  <c r="BK154" i="6"/>
  <c r="J155" i="6"/>
  <c r="P155" i="6"/>
  <c r="R155" i="6"/>
  <c r="T155" i="6"/>
  <c r="BE155" i="6"/>
  <c r="BF155" i="6"/>
  <c r="BG155" i="6"/>
  <c r="BH155" i="6"/>
  <c r="BI155" i="6"/>
  <c r="BK155" i="6"/>
  <c r="J156" i="6"/>
  <c r="BF156" i="6" s="1"/>
  <c r="P156" i="6"/>
  <c r="R156" i="6"/>
  <c r="T156" i="6"/>
  <c r="BE156" i="6"/>
  <c r="BG156" i="6"/>
  <c r="BH156" i="6"/>
  <c r="BI156" i="6"/>
  <c r="BK156" i="6"/>
  <c r="J157" i="6"/>
  <c r="BF157" i="6" s="1"/>
  <c r="P157" i="6"/>
  <c r="R157" i="6"/>
  <c r="T157" i="6"/>
  <c r="BE157" i="6"/>
  <c r="BG157" i="6"/>
  <c r="BH157" i="6"/>
  <c r="BI157" i="6"/>
  <c r="BK157" i="6"/>
  <c r="J158" i="6"/>
  <c r="P158" i="6"/>
  <c r="R158" i="6"/>
  <c r="T158" i="6"/>
  <c r="BE158" i="6"/>
  <c r="BF158" i="6"/>
  <c r="BG158" i="6"/>
  <c r="BH158" i="6"/>
  <c r="BI158" i="6"/>
  <c r="BK158" i="6"/>
  <c r="J159" i="6"/>
  <c r="BF159" i="6" s="1"/>
  <c r="P159" i="6"/>
  <c r="R159" i="6"/>
  <c r="T159" i="6"/>
  <c r="BE159" i="6"/>
  <c r="BG159" i="6"/>
  <c r="BH159" i="6"/>
  <c r="BI159" i="6"/>
  <c r="BK159" i="6"/>
  <c r="J160" i="6"/>
  <c r="BF160" i="6" s="1"/>
  <c r="P160" i="6"/>
  <c r="R160" i="6"/>
  <c r="T160" i="6"/>
  <c r="BE160" i="6"/>
  <c r="BG160" i="6"/>
  <c r="BH160" i="6"/>
  <c r="BI160" i="6"/>
  <c r="BK160" i="6"/>
  <c r="J161" i="6"/>
  <c r="P161" i="6"/>
  <c r="R161" i="6"/>
  <c r="T161" i="6"/>
  <c r="BE161" i="6"/>
  <c r="BF161" i="6"/>
  <c r="BG161" i="6"/>
  <c r="BH161" i="6"/>
  <c r="BI161" i="6"/>
  <c r="BK161" i="6"/>
  <c r="J162" i="6"/>
  <c r="BF162" i="6" s="1"/>
  <c r="P162" i="6"/>
  <c r="R162" i="6"/>
  <c r="T162" i="6"/>
  <c r="BE162" i="6"/>
  <c r="BG162" i="6"/>
  <c r="BH162" i="6"/>
  <c r="BI162" i="6"/>
  <c r="BK162" i="6"/>
  <c r="J163" i="6"/>
  <c r="BF163" i="6" s="1"/>
  <c r="P163" i="6"/>
  <c r="R163" i="6"/>
  <c r="T163" i="6"/>
  <c r="BE163" i="6"/>
  <c r="BG163" i="6"/>
  <c r="BH163" i="6"/>
  <c r="BI163" i="6"/>
  <c r="BK163" i="6"/>
  <c r="J164" i="6"/>
  <c r="P164" i="6"/>
  <c r="R164" i="6"/>
  <c r="T164" i="6"/>
  <c r="BE164" i="6"/>
  <c r="BF164" i="6"/>
  <c r="BG164" i="6"/>
  <c r="BH164" i="6"/>
  <c r="BI164" i="6"/>
  <c r="BK164" i="6"/>
  <c r="J166" i="6"/>
  <c r="P166" i="6"/>
  <c r="R166" i="6"/>
  <c r="R165" i="6" s="1"/>
  <c r="T166" i="6"/>
  <c r="BE166" i="6"/>
  <c r="BF166" i="6"/>
  <c r="BG166" i="6"/>
  <c r="BH166" i="6"/>
  <c r="BI166" i="6"/>
  <c r="BK166" i="6"/>
  <c r="J167" i="6"/>
  <c r="BF167" i="6" s="1"/>
  <c r="P167" i="6"/>
  <c r="P165" i="6" s="1"/>
  <c r="R167" i="6"/>
  <c r="T167" i="6"/>
  <c r="BE167" i="6"/>
  <c r="BG167" i="6"/>
  <c r="BH167" i="6"/>
  <c r="BI167" i="6"/>
  <c r="BK167" i="6"/>
  <c r="J168" i="6"/>
  <c r="BF168" i="6" s="1"/>
  <c r="P168" i="6"/>
  <c r="R168" i="6"/>
  <c r="T168" i="6"/>
  <c r="T165" i="6" s="1"/>
  <c r="BE168" i="6"/>
  <c r="BG168" i="6"/>
  <c r="BH168" i="6"/>
  <c r="BI168" i="6"/>
  <c r="BK168" i="6"/>
  <c r="BK165" i="6" s="1"/>
  <c r="J165" i="6" s="1"/>
  <c r="J101" i="6" s="1"/>
  <c r="J169" i="6"/>
  <c r="P169" i="6"/>
  <c r="R169" i="6"/>
  <c r="T169" i="6"/>
  <c r="BE169" i="6"/>
  <c r="BF169" i="6"/>
  <c r="BG169" i="6"/>
  <c r="BH169" i="6"/>
  <c r="BI169" i="6"/>
  <c r="BK169" i="6"/>
  <c r="J170" i="6"/>
  <c r="BF170" i="6" s="1"/>
  <c r="P170" i="6"/>
  <c r="R170" i="6"/>
  <c r="T170" i="6"/>
  <c r="BE170" i="6"/>
  <c r="BG170" i="6"/>
  <c r="BH170" i="6"/>
  <c r="BI170" i="6"/>
  <c r="BK170" i="6"/>
  <c r="J171" i="6"/>
  <c r="BF171" i="6" s="1"/>
  <c r="P171" i="6"/>
  <c r="R171" i="6"/>
  <c r="T171" i="6"/>
  <c r="BE171" i="6"/>
  <c r="BG171" i="6"/>
  <c r="BH171" i="6"/>
  <c r="BI171" i="6"/>
  <c r="BK171" i="6"/>
  <c r="J172" i="6"/>
  <c r="P172" i="6"/>
  <c r="R172" i="6"/>
  <c r="T172" i="6"/>
  <c r="BE172" i="6"/>
  <c r="BF172" i="6"/>
  <c r="BG172" i="6"/>
  <c r="BH172" i="6"/>
  <c r="BI172" i="6"/>
  <c r="BK172" i="6"/>
  <c r="J173" i="6"/>
  <c r="BF173" i="6" s="1"/>
  <c r="P173" i="6"/>
  <c r="R173" i="6"/>
  <c r="T173" i="6"/>
  <c r="BE173" i="6"/>
  <c r="BG173" i="6"/>
  <c r="BH173" i="6"/>
  <c r="BI173" i="6"/>
  <c r="BK173" i="6"/>
  <c r="J174" i="6"/>
  <c r="P174" i="6"/>
  <c r="R174" i="6"/>
  <c r="T174" i="6"/>
  <c r="BE174" i="6"/>
  <c r="BF174" i="6"/>
  <c r="BG174" i="6"/>
  <c r="BH174" i="6"/>
  <c r="BI174" i="6"/>
  <c r="BK174" i="6"/>
  <c r="J175" i="6"/>
  <c r="P175" i="6"/>
  <c r="R175" i="6"/>
  <c r="T175" i="6"/>
  <c r="BE175" i="6"/>
  <c r="BF175" i="6"/>
  <c r="BG175" i="6"/>
  <c r="BH175" i="6"/>
  <c r="BI175" i="6"/>
  <c r="BK175" i="6"/>
  <c r="J176" i="6"/>
  <c r="BF176" i="6" s="1"/>
  <c r="P176" i="6"/>
  <c r="R176" i="6"/>
  <c r="T176" i="6"/>
  <c r="BE176" i="6"/>
  <c r="BG176" i="6"/>
  <c r="BH176" i="6"/>
  <c r="BI176" i="6"/>
  <c r="BK176" i="6"/>
  <c r="J177" i="6"/>
  <c r="P177" i="6"/>
  <c r="R177" i="6"/>
  <c r="T177" i="6"/>
  <c r="BE177" i="6"/>
  <c r="BF177" i="6"/>
  <c r="BG177" i="6"/>
  <c r="BH177" i="6"/>
  <c r="BI177" i="6"/>
  <c r="BK177" i="6"/>
  <c r="J178" i="6"/>
  <c r="P178" i="6"/>
  <c r="R178" i="6"/>
  <c r="T178" i="6"/>
  <c r="BE178" i="6"/>
  <c r="BF178" i="6"/>
  <c r="BG178" i="6"/>
  <c r="BH178" i="6"/>
  <c r="BI178" i="6"/>
  <c r="BK178" i="6"/>
  <c r="J179" i="6"/>
  <c r="BF179" i="6" s="1"/>
  <c r="P179" i="6"/>
  <c r="R179" i="6"/>
  <c r="T179" i="6"/>
  <c r="BE179" i="6"/>
  <c r="BG179" i="6"/>
  <c r="BH179" i="6"/>
  <c r="BI179" i="6"/>
  <c r="BK179" i="6"/>
  <c r="J180" i="6"/>
  <c r="P180" i="6"/>
  <c r="R180" i="6"/>
  <c r="T180" i="6"/>
  <c r="BE180" i="6"/>
  <c r="BF180" i="6"/>
  <c r="BG180" i="6"/>
  <c r="BH180" i="6"/>
  <c r="BI180" i="6"/>
  <c r="BK180" i="6"/>
  <c r="J181" i="6"/>
  <c r="P181" i="6"/>
  <c r="R181" i="6"/>
  <c r="T181" i="6"/>
  <c r="BE181" i="6"/>
  <c r="BF181" i="6"/>
  <c r="BG181" i="6"/>
  <c r="BH181" i="6"/>
  <c r="BI181" i="6"/>
  <c r="BK181" i="6"/>
  <c r="J182" i="6"/>
  <c r="BF182" i="6" s="1"/>
  <c r="P182" i="6"/>
  <c r="R182" i="6"/>
  <c r="T182" i="6"/>
  <c r="BE182" i="6"/>
  <c r="BG182" i="6"/>
  <c r="BH182" i="6"/>
  <c r="BI182" i="6"/>
  <c r="BK182" i="6"/>
  <c r="J183" i="6"/>
  <c r="P183" i="6"/>
  <c r="R183" i="6"/>
  <c r="T183" i="6"/>
  <c r="BE183" i="6"/>
  <c r="BF183" i="6"/>
  <c r="BG183" i="6"/>
  <c r="BH183" i="6"/>
  <c r="BI183" i="6"/>
  <c r="BK183" i="6"/>
  <c r="J184" i="6"/>
  <c r="P184" i="6"/>
  <c r="R184" i="6"/>
  <c r="T184" i="6"/>
  <c r="BE184" i="6"/>
  <c r="BF184" i="6"/>
  <c r="BG184" i="6"/>
  <c r="BH184" i="6"/>
  <c r="BI184" i="6"/>
  <c r="BK184" i="6"/>
  <c r="J185" i="6"/>
  <c r="BF185" i="6" s="1"/>
  <c r="P185" i="6"/>
  <c r="R185" i="6"/>
  <c r="T185" i="6"/>
  <c r="BE185" i="6"/>
  <c r="BG185" i="6"/>
  <c r="BH185" i="6"/>
  <c r="BI185" i="6"/>
  <c r="BK185" i="6"/>
  <c r="J186" i="6"/>
  <c r="P186" i="6"/>
  <c r="R186" i="6"/>
  <c r="T186" i="6"/>
  <c r="BE186" i="6"/>
  <c r="BF186" i="6"/>
  <c r="BG186" i="6"/>
  <c r="BH186" i="6"/>
  <c r="BI186" i="6"/>
  <c r="BK186" i="6"/>
  <c r="J187" i="6"/>
  <c r="P187" i="6"/>
  <c r="R187" i="6"/>
  <c r="T187" i="6"/>
  <c r="BE187" i="6"/>
  <c r="BF187" i="6"/>
  <c r="BG187" i="6"/>
  <c r="BH187" i="6"/>
  <c r="BI187" i="6"/>
  <c r="BK187" i="6"/>
  <c r="P188" i="6"/>
  <c r="J189" i="6"/>
  <c r="P189" i="6"/>
  <c r="R189" i="6"/>
  <c r="R188" i="6" s="1"/>
  <c r="T189" i="6"/>
  <c r="BE189" i="6"/>
  <c r="BF189" i="6"/>
  <c r="BG189" i="6"/>
  <c r="BH189" i="6"/>
  <c r="BI189" i="6"/>
  <c r="BK189" i="6"/>
  <c r="J190" i="6"/>
  <c r="BF190" i="6" s="1"/>
  <c r="P190" i="6"/>
  <c r="R190" i="6"/>
  <c r="T190" i="6"/>
  <c r="T188" i="6" s="1"/>
  <c r="BE190" i="6"/>
  <c r="BG190" i="6"/>
  <c r="BH190" i="6"/>
  <c r="BI190" i="6"/>
  <c r="BK190" i="6"/>
  <c r="BK188" i="6" s="1"/>
  <c r="J188" i="6" s="1"/>
  <c r="J102" i="6" s="1"/>
  <c r="J191" i="6"/>
  <c r="BF191" i="6" s="1"/>
  <c r="P191" i="6"/>
  <c r="R191" i="6"/>
  <c r="T191" i="6"/>
  <c r="BE191" i="6"/>
  <c r="BG191" i="6"/>
  <c r="BH191" i="6"/>
  <c r="BI191" i="6"/>
  <c r="BK191" i="6"/>
  <c r="J192" i="6"/>
  <c r="P192" i="6"/>
  <c r="R192" i="6"/>
  <c r="T192" i="6"/>
  <c r="BE192" i="6"/>
  <c r="BF192" i="6"/>
  <c r="BG192" i="6"/>
  <c r="BH192" i="6"/>
  <c r="BI192" i="6"/>
  <c r="BK192" i="6"/>
  <c r="J193" i="6"/>
  <c r="BF193" i="6" s="1"/>
  <c r="P193" i="6"/>
  <c r="R193" i="6"/>
  <c r="T193" i="6"/>
  <c r="BE193" i="6"/>
  <c r="BG193" i="6"/>
  <c r="BH193" i="6"/>
  <c r="BI193" i="6"/>
  <c r="BK193" i="6"/>
  <c r="J194" i="6"/>
  <c r="BF194" i="6" s="1"/>
  <c r="P194" i="6"/>
  <c r="R194" i="6"/>
  <c r="T194" i="6"/>
  <c r="BE194" i="6"/>
  <c r="BG194" i="6"/>
  <c r="BH194" i="6"/>
  <c r="BI194" i="6"/>
  <c r="BK194" i="6"/>
  <c r="J198" i="6"/>
  <c r="P198" i="6"/>
  <c r="R198" i="6"/>
  <c r="T198" i="6"/>
  <c r="BE198" i="6"/>
  <c r="BF198" i="6"/>
  <c r="BG198" i="6"/>
  <c r="BH198" i="6"/>
  <c r="BI198" i="6"/>
  <c r="BK198" i="6"/>
  <c r="J202" i="6"/>
  <c r="BF202" i="6" s="1"/>
  <c r="P202" i="6"/>
  <c r="R202" i="6"/>
  <c r="T202" i="6"/>
  <c r="BE202" i="6"/>
  <c r="BG202" i="6"/>
  <c r="BH202" i="6"/>
  <c r="BI202" i="6"/>
  <c r="BK202" i="6"/>
  <c r="J204" i="6"/>
  <c r="BF204" i="6" s="1"/>
  <c r="P204" i="6"/>
  <c r="R204" i="6"/>
  <c r="T204" i="6"/>
  <c r="BE204" i="6"/>
  <c r="BG204" i="6"/>
  <c r="BH204" i="6"/>
  <c r="BI204" i="6"/>
  <c r="BK204" i="6"/>
  <c r="J205" i="6"/>
  <c r="P205" i="6"/>
  <c r="R205" i="6"/>
  <c r="T205" i="6"/>
  <c r="BE205" i="6"/>
  <c r="BF205" i="6"/>
  <c r="BG205" i="6"/>
  <c r="BH205" i="6"/>
  <c r="BI205" i="6"/>
  <c r="BK205" i="6"/>
  <c r="J206" i="6"/>
  <c r="BF206" i="6" s="1"/>
  <c r="P206" i="6"/>
  <c r="R206" i="6"/>
  <c r="T206" i="6"/>
  <c r="BE206" i="6"/>
  <c r="BG206" i="6"/>
  <c r="BH206" i="6"/>
  <c r="BI206" i="6"/>
  <c r="BK206" i="6"/>
  <c r="J207" i="6"/>
  <c r="BF207" i="6" s="1"/>
  <c r="P207" i="6"/>
  <c r="R207" i="6"/>
  <c r="T207" i="6"/>
  <c r="BE207" i="6"/>
  <c r="BG207" i="6"/>
  <c r="BH207" i="6"/>
  <c r="BI207" i="6"/>
  <c r="BK207" i="6"/>
  <c r="J208" i="6"/>
  <c r="P208" i="6"/>
  <c r="R208" i="6"/>
  <c r="T208" i="6"/>
  <c r="BE208" i="6"/>
  <c r="BF208" i="6"/>
  <c r="BG208" i="6"/>
  <c r="BH208" i="6"/>
  <c r="BI208" i="6"/>
  <c r="BK208" i="6"/>
  <c r="J209" i="6"/>
  <c r="BF209" i="6" s="1"/>
  <c r="P209" i="6"/>
  <c r="R209" i="6"/>
  <c r="T209" i="6"/>
  <c r="BE209" i="6"/>
  <c r="BG209" i="6"/>
  <c r="BH209" i="6"/>
  <c r="BI209" i="6"/>
  <c r="BK209" i="6"/>
  <c r="J210" i="6"/>
  <c r="BF210" i="6" s="1"/>
  <c r="P210" i="6"/>
  <c r="R210" i="6"/>
  <c r="T210" i="6"/>
  <c r="BE210" i="6"/>
  <c r="BG210" i="6"/>
  <c r="BH210" i="6"/>
  <c r="BI210" i="6"/>
  <c r="BK210" i="6"/>
  <c r="J211" i="6"/>
  <c r="P211" i="6"/>
  <c r="R211" i="6"/>
  <c r="T211" i="6"/>
  <c r="BE211" i="6"/>
  <c r="BF211" i="6"/>
  <c r="BG211" i="6"/>
  <c r="BH211" i="6"/>
  <c r="BI211" i="6"/>
  <c r="BK211" i="6"/>
  <c r="J212" i="6"/>
  <c r="BF212" i="6" s="1"/>
  <c r="P212" i="6"/>
  <c r="R212" i="6"/>
  <c r="T212" i="6"/>
  <c r="BE212" i="6"/>
  <c r="BG212" i="6"/>
  <c r="BH212" i="6"/>
  <c r="BI212" i="6"/>
  <c r="BK212" i="6"/>
  <c r="J213" i="6"/>
  <c r="BF213" i="6" s="1"/>
  <c r="P213" i="6"/>
  <c r="R213" i="6"/>
  <c r="T213" i="6"/>
  <c r="BE213" i="6"/>
  <c r="BG213" i="6"/>
  <c r="BH213" i="6"/>
  <c r="BI213" i="6"/>
  <c r="BK213" i="6"/>
  <c r="J214" i="6"/>
  <c r="P214" i="6"/>
  <c r="R214" i="6"/>
  <c r="T214" i="6"/>
  <c r="BE214" i="6"/>
  <c r="BF214" i="6"/>
  <c r="BG214" i="6"/>
  <c r="BH214" i="6"/>
  <c r="BI214" i="6"/>
  <c r="BK214" i="6"/>
  <c r="J215" i="6"/>
  <c r="BF215" i="6" s="1"/>
  <c r="P215" i="6"/>
  <c r="R215" i="6"/>
  <c r="T215" i="6"/>
  <c r="BE215" i="6"/>
  <c r="BG215" i="6"/>
  <c r="BH215" i="6"/>
  <c r="BI215" i="6"/>
  <c r="BK215" i="6"/>
  <c r="R216" i="6"/>
  <c r="T216" i="6"/>
  <c r="J217" i="6"/>
  <c r="BF217" i="6" s="1"/>
  <c r="P217" i="6"/>
  <c r="P216" i="6" s="1"/>
  <c r="R217" i="6"/>
  <c r="T217" i="6"/>
  <c r="BE217" i="6"/>
  <c r="BG217" i="6"/>
  <c r="BH217" i="6"/>
  <c r="BI217" i="6"/>
  <c r="BK217" i="6"/>
  <c r="BK216" i="6" s="1"/>
  <c r="J216" i="6" s="1"/>
  <c r="J103" i="6" s="1"/>
  <c r="E113" i="5"/>
  <c r="J117" i="5"/>
  <c r="F91" i="5"/>
  <c r="F92" i="5"/>
  <c r="J91" i="5"/>
  <c r="J120" i="5"/>
  <c r="J35" i="5"/>
  <c r="J36" i="5"/>
  <c r="J37" i="5"/>
  <c r="E87" i="5"/>
  <c r="F89" i="5"/>
  <c r="E115" i="5"/>
  <c r="F117" i="5"/>
  <c r="BK125" i="5"/>
  <c r="J125" i="5" s="1"/>
  <c r="J98" i="5" s="1"/>
  <c r="J126" i="5"/>
  <c r="P126" i="5"/>
  <c r="R126" i="5"/>
  <c r="T126" i="5"/>
  <c r="BE126" i="5"/>
  <c r="F33" i="5" s="1"/>
  <c r="BF126" i="5"/>
  <c r="BG126" i="5"/>
  <c r="F35" i="5" s="1"/>
  <c r="BH126" i="5"/>
  <c r="F36" i="5" s="1"/>
  <c r="BI126" i="5"/>
  <c r="F37" i="5" s="1"/>
  <c r="BK126" i="5"/>
  <c r="J127" i="5"/>
  <c r="BF127" i="5" s="1"/>
  <c r="P127" i="5"/>
  <c r="P125" i="5" s="1"/>
  <c r="R127" i="5"/>
  <c r="R125" i="5" s="1"/>
  <c r="T127" i="5"/>
  <c r="T125" i="5" s="1"/>
  <c r="T124" i="5" s="1"/>
  <c r="T123" i="5" s="1"/>
  <c r="BE127" i="5"/>
  <c r="BG127" i="5"/>
  <c r="BH127" i="5"/>
  <c r="BI127" i="5"/>
  <c r="BK127" i="5"/>
  <c r="T128" i="5"/>
  <c r="J129" i="5"/>
  <c r="BF129" i="5" s="1"/>
  <c r="P129" i="5"/>
  <c r="R129" i="5"/>
  <c r="R128" i="5" s="1"/>
  <c r="T129" i="5"/>
  <c r="BE129" i="5"/>
  <c r="J33" i="5" s="1"/>
  <c r="BG129" i="5"/>
  <c r="BH129" i="5"/>
  <c r="BI129" i="5"/>
  <c r="BK129" i="5"/>
  <c r="BK128" i="5" s="1"/>
  <c r="J128" i="5" s="1"/>
  <c r="J99" i="5" s="1"/>
  <c r="J130" i="5"/>
  <c r="BF130" i="5" s="1"/>
  <c r="P130" i="5"/>
  <c r="P128" i="5" s="1"/>
  <c r="R130" i="5"/>
  <c r="T130" i="5"/>
  <c r="BE130" i="5"/>
  <c r="BG130" i="5"/>
  <c r="BH130" i="5"/>
  <c r="BI130" i="5"/>
  <c r="BK130" i="5"/>
  <c r="J131" i="5"/>
  <c r="P131" i="5"/>
  <c r="R131" i="5"/>
  <c r="T131" i="5"/>
  <c r="BE131" i="5"/>
  <c r="BF131" i="5"/>
  <c r="BG131" i="5"/>
  <c r="BH131" i="5"/>
  <c r="BI131" i="5"/>
  <c r="BK131" i="5"/>
  <c r="J132" i="5"/>
  <c r="P132" i="5"/>
  <c r="R132" i="5"/>
  <c r="T132" i="5"/>
  <c r="BE132" i="5"/>
  <c r="BF132" i="5"/>
  <c r="BG132" i="5"/>
  <c r="BH132" i="5"/>
  <c r="BI132" i="5"/>
  <c r="BK132" i="5"/>
  <c r="J133" i="5"/>
  <c r="BF133" i="5" s="1"/>
  <c r="P133" i="5"/>
  <c r="R133" i="5"/>
  <c r="T133" i="5"/>
  <c r="BE133" i="5"/>
  <c r="BG133" i="5"/>
  <c r="BH133" i="5"/>
  <c r="BI133" i="5"/>
  <c r="BK133" i="5"/>
  <c r="J134" i="5"/>
  <c r="P134" i="5"/>
  <c r="R134" i="5"/>
  <c r="T134" i="5"/>
  <c r="BE134" i="5"/>
  <c r="BF134" i="5"/>
  <c r="BG134" i="5"/>
  <c r="BH134" i="5"/>
  <c r="BI134" i="5"/>
  <c r="BK134" i="5"/>
  <c r="J135" i="5"/>
  <c r="P135" i="5"/>
  <c r="R135" i="5"/>
  <c r="T135" i="5"/>
  <c r="BE135" i="5"/>
  <c r="BF135" i="5"/>
  <c r="BG135" i="5"/>
  <c r="BH135" i="5"/>
  <c r="BI135" i="5"/>
  <c r="BK135" i="5"/>
  <c r="J136" i="5"/>
  <c r="BF136" i="5" s="1"/>
  <c r="P136" i="5"/>
  <c r="R136" i="5"/>
  <c r="T136" i="5"/>
  <c r="BE136" i="5"/>
  <c r="BG136" i="5"/>
  <c r="BH136" i="5"/>
  <c r="BI136" i="5"/>
  <c r="BK136" i="5"/>
  <c r="J137" i="5"/>
  <c r="P137" i="5"/>
  <c r="R137" i="5"/>
  <c r="T137" i="5"/>
  <c r="BE137" i="5"/>
  <c r="BF137" i="5"/>
  <c r="BG137" i="5"/>
  <c r="BH137" i="5"/>
  <c r="BI137" i="5"/>
  <c r="BK137" i="5"/>
  <c r="J138" i="5"/>
  <c r="P138" i="5"/>
  <c r="R138" i="5"/>
  <c r="T138" i="5"/>
  <c r="BE138" i="5"/>
  <c r="BF138" i="5"/>
  <c r="BG138" i="5"/>
  <c r="BH138" i="5"/>
  <c r="BI138" i="5"/>
  <c r="BK138" i="5"/>
  <c r="J139" i="5"/>
  <c r="BF139" i="5" s="1"/>
  <c r="P139" i="5"/>
  <c r="R139" i="5"/>
  <c r="T139" i="5"/>
  <c r="BE139" i="5"/>
  <c r="BG139" i="5"/>
  <c r="BH139" i="5"/>
  <c r="BI139" i="5"/>
  <c r="BK139" i="5"/>
  <c r="J140" i="5"/>
  <c r="P140" i="5"/>
  <c r="R140" i="5"/>
  <c r="T140" i="5"/>
  <c r="BE140" i="5"/>
  <c r="BF140" i="5"/>
  <c r="BG140" i="5"/>
  <c r="BH140" i="5"/>
  <c r="BI140" i="5"/>
  <c r="BK140" i="5"/>
  <c r="J141" i="5"/>
  <c r="P141" i="5"/>
  <c r="R141" i="5"/>
  <c r="T141" i="5"/>
  <c r="BE141" i="5"/>
  <c r="BF141" i="5"/>
  <c r="BG141" i="5"/>
  <c r="BH141" i="5"/>
  <c r="BI141" i="5"/>
  <c r="BK141" i="5"/>
  <c r="J142" i="5"/>
  <c r="BF142" i="5" s="1"/>
  <c r="P142" i="5"/>
  <c r="R142" i="5"/>
  <c r="T142" i="5"/>
  <c r="BE142" i="5"/>
  <c r="BG142" i="5"/>
  <c r="BH142" i="5"/>
  <c r="BI142" i="5"/>
  <c r="BK142" i="5"/>
  <c r="J143" i="5"/>
  <c r="P143" i="5"/>
  <c r="R143" i="5"/>
  <c r="T143" i="5"/>
  <c r="BE143" i="5"/>
  <c r="BF143" i="5"/>
  <c r="BG143" i="5"/>
  <c r="BH143" i="5"/>
  <c r="BI143" i="5"/>
  <c r="BK143" i="5"/>
  <c r="J144" i="5"/>
  <c r="P144" i="5"/>
  <c r="R144" i="5"/>
  <c r="T144" i="5"/>
  <c r="BE144" i="5"/>
  <c r="BF144" i="5"/>
  <c r="BG144" i="5"/>
  <c r="BH144" i="5"/>
  <c r="BI144" i="5"/>
  <c r="BK144" i="5"/>
  <c r="J145" i="5"/>
  <c r="BF145" i="5" s="1"/>
  <c r="P145" i="5"/>
  <c r="R145" i="5"/>
  <c r="T145" i="5"/>
  <c r="BE145" i="5"/>
  <c r="BG145" i="5"/>
  <c r="BH145" i="5"/>
  <c r="BI145" i="5"/>
  <c r="BK145" i="5"/>
  <c r="J146" i="5"/>
  <c r="P146" i="5"/>
  <c r="R146" i="5"/>
  <c r="T146" i="5"/>
  <c r="BE146" i="5"/>
  <c r="BF146" i="5"/>
  <c r="BG146" i="5"/>
  <c r="BH146" i="5"/>
  <c r="BI146" i="5"/>
  <c r="BK146" i="5"/>
  <c r="J147" i="5"/>
  <c r="P147" i="5"/>
  <c r="R147" i="5"/>
  <c r="T147" i="5"/>
  <c r="BE147" i="5"/>
  <c r="BF147" i="5"/>
  <c r="BG147" i="5"/>
  <c r="BH147" i="5"/>
  <c r="BI147" i="5"/>
  <c r="BK147" i="5"/>
  <c r="J149" i="5"/>
  <c r="P149" i="5"/>
  <c r="P148" i="5" s="1"/>
  <c r="R149" i="5"/>
  <c r="R148" i="5" s="1"/>
  <c r="T149" i="5"/>
  <c r="T148" i="5" s="1"/>
  <c r="BE149" i="5"/>
  <c r="BF149" i="5"/>
  <c r="BG149" i="5"/>
  <c r="BH149" i="5"/>
  <c r="BI149" i="5"/>
  <c r="BK149" i="5"/>
  <c r="BK148" i="5" s="1"/>
  <c r="J148" i="5" s="1"/>
  <c r="J100" i="5" s="1"/>
  <c r="J150" i="5"/>
  <c r="P150" i="5"/>
  <c r="R150" i="5"/>
  <c r="T150" i="5"/>
  <c r="BE150" i="5"/>
  <c r="BF150" i="5"/>
  <c r="BG150" i="5"/>
  <c r="BH150" i="5"/>
  <c r="BI150" i="5"/>
  <c r="BK150" i="5"/>
  <c r="J151" i="5"/>
  <c r="P151" i="5"/>
  <c r="R151" i="5"/>
  <c r="T151" i="5"/>
  <c r="BE151" i="5"/>
  <c r="BF151" i="5"/>
  <c r="BG151" i="5"/>
  <c r="BH151" i="5"/>
  <c r="BI151" i="5"/>
  <c r="BK151" i="5"/>
  <c r="J152" i="5"/>
  <c r="P152" i="5"/>
  <c r="R152" i="5"/>
  <c r="T152" i="5"/>
  <c r="BE152" i="5"/>
  <c r="BF152" i="5"/>
  <c r="BG152" i="5"/>
  <c r="BH152" i="5"/>
  <c r="BI152" i="5"/>
  <c r="BK152" i="5"/>
  <c r="J153" i="5"/>
  <c r="P153" i="5"/>
  <c r="R153" i="5"/>
  <c r="T153" i="5"/>
  <c r="BE153" i="5"/>
  <c r="BF153" i="5"/>
  <c r="BG153" i="5"/>
  <c r="BH153" i="5"/>
  <c r="BI153" i="5"/>
  <c r="BK153" i="5"/>
  <c r="J154" i="5"/>
  <c r="P154" i="5"/>
  <c r="R154" i="5"/>
  <c r="T154" i="5"/>
  <c r="BE154" i="5"/>
  <c r="BF154" i="5"/>
  <c r="BG154" i="5"/>
  <c r="BH154" i="5"/>
  <c r="BI154" i="5"/>
  <c r="BK154" i="5"/>
  <c r="J155" i="5"/>
  <c r="P155" i="5"/>
  <c r="R155" i="5"/>
  <c r="T155" i="5"/>
  <c r="BE155" i="5"/>
  <c r="BF155" i="5"/>
  <c r="BG155" i="5"/>
  <c r="BH155" i="5"/>
  <c r="BI155" i="5"/>
  <c r="BK155" i="5"/>
  <c r="J156" i="5"/>
  <c r="P156" i="5"/>
  <c r="R156" i="5"/>
  <c r="T156" i="5"/>
  <c r="BE156" i="5"/>
  <c r="BF156" i="5"/>
  <c r="BG156" i="5"/>
  <c r="BH156" i="5"/>
  <c r="BI156" i="5"/>
  <c r="BK156" i="5"/>
  <c r="J157" i="5"/>
  <c r="P157" i="5"/>
  <c r="R157" i="5"/>
  <c r="T157" i="5"/>
  <c r="BE157" i="5"/>
  <c r="BF157" i="5"/>
  <c r="BG157" i="5"/>
  <c r="BH157" i="5"/>
  <c r="BI157" i="5"/>
  <c r="BK157" i="5"/>
  <c r="J158" i="5"/>
  <c r="P158" i="5"/>
  <c r="R158" i="5"/>
  <c r="T158" i="5"/>
  <c r="BE158" i="5"/>
  <c r="BF158" i="5"/>
  <c r="BG158" i="5"/>
  <c r="BH158" i="5"/>
  <c r="BI158" i="5"/>
  <c r="BK158" i="5"/>
  <c r="J159" i="5"/>
  <c r="P159" i="5"/>
  <c r="R159" i="5"/>
  <c r="T159" i="5"/>
  <c r="BE159" i="5"/>
  <c r="BF159" i="5"/>
  <c r="BG159" i="5"/>
  <c r="BH159" i="5"/>
  <c r="BI159" i="5"/>
  <c r="BK159" i="5"/>
  <c r="J160" i="5"/>
  <c r="P160" i="5"/>
  <c r="R160" i="5"/>
  <c r="T160" i="5"/>
  <c r="BE160" i="5"/>
  <c r="BF160" i="5"/>
  <c r="BG160" i="5"/>
  <c r="BH160" i="5"/>
  <c r="BI160" i="5"/>
  <c r="BK160" i="5"/>
  <c r="J161" i="5"/>
  <c r="P161" i="5"/>
  <c r="R161" i="5"/>
  <c r="T161" i="5"/>
  <c r="BE161" i="5"/>
  <c r="BF161" i="5"/>
  <c r="BG161" i="5"/>
  <c r="BH161" i="5"/>
  <c r="BI161" i="5"/>
  <c r="BK161" i="5"/>
  <c r="J162" i="5"/>
  <c r="P162" i="5"/>
  <c r="R162" i="5"/>
  <c r="T162" i="5"/>
  <c r="BE162" i="5"/>
  <c r="BF162" i="5"/>
  <c r="BG162" i="5"/>
  <c r="BH162" i="5"/>
  <c r="BI162" i="5"/>
  <c r="BK162" i="5"/>
  <c r="J163" i="5"/>
  <c r="P163" i="5"/>
  <c r="R163" i="5"/>
  <c r="T163" i="5"/>
  <c r="BE163" i="5"/>
  <c r="BF163" i="5"/>
  <c r="BG163" i="5"/>
  <c r="BH163" i="5"/>
  <c r="BI163" i="5"/>
  <c r="BK163" i="5"/>
  <c r="J164" i="5"/>
  <c r="P164" i="5"/>
  <c r="R164" i="5"/>
  <c r="T164" i="5"/>
  <c r="BE164" i="5"/>
  <c r="BF164" i="5"/>
  <c r="BG164" i="5"/>
  <c r="BH164" i="5"/>
  <c r="BI164" i="5"/>
  <c r="BK164" i="5"/>
  <c r="T165" i="5"/>
  <c r="J166" i="5"/>
  <c r="P166" i="5"/>
  <c r="R166" i="5"/>
  <c r="R165" i="5" s="1"/>
  <c r="T166" i="5"/>
  <c r="BE166" i="5"/>
  <c r="BF166" i="5"/>
  <c r="BG166" i="5"/>
  <c r="BH166" i="5"/>
  <c r="BI166" i="5"/>
  <c r="BK166" i="5"/>
  <c r="BK165" i="5" s="1"/>
  <c r="J165" i="5" s="1"/>
  <c r="J101" i="5" s="1"/>
  <c r="J167" i="5"/>
  <c r="BF167" i="5" s="1"/>
  <c r="P167" i="5"/>
  <c r="P165" i="5" s="1"/>
  <c r="R167" i="5"/>
  <c r="T167" i="5"/>
  <c r="BE167" i="5"/>
  <c r="BG167" i="5"/>
  <c r="BH167" i="5"/>
  <c r="BI167" i="5"/>
  <c r="BK167" i="5"/>
  <c r="J168" i="5"/>
  <c r="P168" i="5"/>
  <c r="R168" i="5"/>
  <c r="T168" i="5"/>
  <c r="BE168" i="5"/>
  <c r="BF168" i="5"/>
  <c r="BG168" i="5"/>
  <c r="BH168" i="5"/>
  <c r="BI168" i="5"/>
  <c r="BK168" i="5"/>
  <c r="J169" i="5"/>
  <c r="P169" i="5"/>
  <c r="R169" i="5"/>
  <c r="T169" i="5"/>
  <c r="BE169" i="5"/>
  <c r="BF169" i="5"/>
  <c r="BG169" i="5"/>
  <c r="BH169" i="5"/>
  <c r="BI169" i="5"/>
  <c r="BK169" i="5"/>
  <c r="J170" i="5"/>
  <c r="BF170" i="5" s="1"/>
  <c r="P170" i="5"/>
  <c r="R170" i="5"/>
  <c r="T170" i="5"/>
  <c r="BE170" i="5"/>
  <c r="BG170" i="5"/>
  <c r="BH170" i="5"/>
  <c r="BI170" i="5"/>
  <c r="BK170" i="5"/>
  <c r="J171" i="5"/>
  <c r="P171" i="5"/>
  <c r="R171" i="5"/>
  <c r="T171" i="5"/>
  <c r="BE171" i="5"/>
  <c r="BF171" i="5"/>
  <c r="BG171" i="5"/>
  <c r="BH171" i="5"/>
  <c r="BI171" i="5"/>
  <c r="BK171" i="5"/>
  <c r="J172" i="5"/>
  <c r="P172" i="5"/>
  <c r="R172" i="5"/>
  <c r="T172" i="5"/>
  <c r="BE172" i="5"/>
  <c r="BF172" i="5"/>
  <c r="BG172" i="5"/>
  <c r="BH172" i="5"/>
  <c r="BI172" i="5"/>
  <c r="BK172" i="5"/>
  <c r="J173" i="5"/>
  <c r="BF173" i="5" s="1"/>
  <c r="P173" i="5"/>
  <c r="R173" i="5"/>
  <c r="T173" i="5"/>
  <c r="BE173" i="5"/>
  <c r="BG173" i="5"/>
  <c r="BH173" i="5"/>
  <c r="BI173" i="5"/>
  <c r="BK173" i="5"/>
  <c r="J174" i="5"/>
  <c r="P174" i="5"/>
  <c r="R174" i="5"/>
  <c r="T174" i="5"/>
  <c r="BE174" i="5"/>
  <c r="BF174" i="5"/>
  <c r="BG174" i="5"/>
  <c r="BH174" i="5"/>
  <c r="BI174" i="5"/>
  <c r="BK174" i="5"/>
  <c r="J175" i="5"/>
  <c r="P175" i="5"/>
  <c r="R175" i="5"/>
  <c r="T175" i="5"/>
  <c r="BE175" i="5"/>
  <c r="BF175" i="5"/>
  <c r="BG175" i="5"/>
  <c r="BH175" i="5"/>
  <c r="BI175" i="5"/>
  <c r="BK175" i="5"/>
  <c r="J176" i="5"/>
  <c r="BF176" i="5" s="1"/>
  <c r="P176" i="5"/>
  <c r="R176" i="5"/>
  <c r="T176" i="5"/>
  <c r="BE176" i="5"/>
  <c r="BG176" i="5"/>
  <c r="BH176" i="5"/>
  <c r="BI176" i="5"/>
  <c r="BK176" i="5"/>
  <c r="J177" i="5"/>
  <c r="P177" i="5"/>
  <c r="R177" i="5"/>
  <c r="T177" i="5"/>
  <c r="BE177" i="5"/>
  <c r="BF177" i="5"/>
  <c r="BG177" i="5"/>
  <c r="BH177" i="5"/>
  <c r="BI177" i="5"/>
  <c r="BK177" i="5"/>
  <c r="J178" i="5"/>
  <c r="P178" i="5"/>
  <c r="R178" i="5"/>
  <c r="T178" i="5"/>
  <c r="BE178" i="5"/>
  <c r="BF178" i="5"/>
  <c r="BG178" i="5"/>
  <c r="BH178" i="5"/>
  <c r="BI178" i="5"/>
  <c r="BK178" i="5"/>
  <c r="J179" i="5"/>
  <c r="BF179" i="5" s="1"/>
  <c r="P179" i="5"/>
  <c r="R179" i="5"/>
  <c r="T179" i="5"/>
  <c r="BE179" i="5"/>
  <c r="BG179" i="5"/>
  <c r="BH179" i="5"/>
  <c r="BI179" i="5"/>
  <c r="BK179" i="5"/>
  <c r="J180" i="5"/>
  <c r="P180" i="5"/>
  <c r="R180" i="5"/>
  <c r="T180" i="5"/>
  <c r="BE180" i="5"/>
  <c r="BF180" i="5"/>
  <c r="BG180" i="5"/>
  <c r="BH180" i="5"/>
  <c r="BI180" i="5"/>
  <c r="BK180" i="5"/>
  <c r="J181" i="5"/>
  <c r="P181" i="5"/>
  <c r="R181" i="5"/>
  <c r="T181" i="5"/>
  <c r="BE181" i="5"/>
  <c r="BF181" i="5"/>
  <c r="BG181" i="5"/>
  <c r="BH181" i="5"/>
  <c r="BI181" i="5"/>
  <c r="BK181" i="5"/>
  <c r="J182" i="5"/>
  <c r="BF182" i="5" s="1"/>
  <c r="P182" i="5"/>
  <c r="R182" i="5"/>
  <c r="T182" i="5"/>
  <c r="BE182" i="5"/>
  <c r="BG182" i="5"/>
  <c r="BH182" i="5"/>
  <c r="BI182" i="5"/>
  <c r="BK182" i="5"/>
  <c r="J183" i="5"/>
  <c r="BF183" i="5" s="1"/>
  <c r="P183" i="5"/>
  <c r="R183" i="5"/>
  <c r="T183" i="5"/>
  <c r="BE183" i="5"/>
  <c r="BG183" i="5"/>
  <c r="BH183" i="5"/>
  <c r="BI183" i="5"/>
  <c r="BK183" i="5"/>
  <c r="J184" i="5"/>
  <c r="P184" i="5"/>
  <c r="R184" i="5"/>
  <c r="T184" i="5"/>
  <c r="BE184" i="5"/>
  <c r="BF184" i="5"/>
  <c r="BG184" i="5"/>
  <c r="BH184" i="5"/>
  <c r="BI184" i="5"/>
  <c r="BK184" i="5"/>
  <c r="J185" i="5"/>
  <c r="BF185" i="5" s="1"/>
  <c r="P185" i="5"/>
  <c r="R185" i="5"/>
  <c r="T185" i="5"/>
  <c r="BE185" i="5"/>
  <c r="BG185" i="5"/>
  <c r="BH185" i="5"/>
  <c r="BI185" i="5"/>
  <c r="BK185" i="5"/>
  <c r="J186" i="5"/>
  <c r="P186" i="5"/>
  <c r="R186" i="5"/>
  <c r="T186" i="5"/>
  <c r="BE186" i="5"/>
  <c r="BF186" i="5"/>
  <c r="BG186" i="5"/>
  <c r="BH186" i="5"/>
  <c r="BI186" i="5"/>
  <c r="BK186" i="5"/>
  <c r="J188" i="5"/>
  <c r="P188" i="5"/>
  <c r="P187" i="5" s="1"/>
  <c r="R188" i="5"/>
  <c r="R187" i="5" s="1"/>
  <c r="T188" i="5"/>
  <c r="T187" i="5" s="1"/>
  <c r="BE188" i="5"/>
  <c r="BF188" i="5"/>
  <c r="BG188" i="5"/>
  <c r="BH188" i="5"/>
  <c r="BI188" i="5"/>
  <c r="BK188" i="5"/>
  <c r="J189" i="5"/>
  <c r="P189" i="5"/>
  <c r="R189" i="5"/>
  <c r="T189" i="5"/>
  <c r="BE189" i="5"/>
  <c r="BF189" i="5"/>
  <c r="BG189" i="5"/>
  <c r="BH189" i="5"/>
  <c r="BI189" i="5"/>
  <c r="BK189" i="5"/>
  <c r="J190" i="5"/>
  <c r="P190" i="5"/>
  <c r="R190" i="5"/>
  <c r="T190" i="5"/>
  <c r="BE190" i="5"/>
  <c r="BF190" i="5"/>
  <c r="BG190" i="5"/>
  <c r="BH190" i="5"/>
  <c r="BI190" i="5"/>
  <c r="BK190" i="5"/>
  <c r="BK187" i="5" s="1"/>
  <c r="J187" i="5" s="1"/>
  <c r="J102" i="5" s="1"/>
  <c r="J191" i="5"/>
  <c r="P191" i="5"/>
  <c r="R191" i="5"/>
  <c r="T191" i="5"/>
  <c r="BE191" i="5"/>
  <c r="BF191" i="5"/>
  <c r="BG191" i="5"/>
  <c r="BH191" i="5"/>
  <c r="BI191" i="5"/>
  <c r="BK191" i="5"/>
  <c r="J192" i="5"/>
  <c r="P192" i="5"/>
  <c r="R192" i="5"/>
  <c r="T192" i="5"/>
  <c r="BE192" i="5"/>
  <c r="BF192" i="5"/>
  <c r="BG192" i="5"/>
  <c r="BH192" i="5"/>
  <c r="BI192" i="5"/>
  <c r="BK192" i="5"/>
  <c r="J193" i="5"/>
  <c r="P193" i="5"/>
  <c r="R193" i="5"/>
  <c r="T193" i="5"/>
  <c r="BE193" i="5"/>
  <c r="BF193" i="5"/>
  <c r="BG193" i="5"/>
  <c r="BH193" i="5"/>
  <c r="BI193" i="5"/>
  <c r="BK193" i="5"/>
  <c r="J197" i="5"/>
  <c r="P197" i="5"/>
  <c r="R197" i="5"/>
  <c r="T197" i="5"/>
  <c r="BE197" i="5"/>
  <c r="BF197" i="5"/>
  <c r="BG197" i="5"/>
  <c r="BH197" i="5"/>
  <c r="BI197" i="5"/>
  <c r="BK197" i="5"/>
  <c r="J201" i="5"/>
  <c r="P201" i="5"/>
  <c r="R201" i="5"/>
  <c r="T201" i="5"/>
  <c r="BE201" i="5"/>
  <c r="BF201" i="5"/>
  <c r="BG201" i="5"/>
  <c r="BH201" i="5"/>
  <c r="BI201" i="5"/>
  <c r="BK201" i="5"/>
  <c r="J203" i="5"/>
  <c r="P203" i="5"/>
  <c r="R203" i="5"/>
  <c r="T203" i="5"/>
  <c r="BE203" i="5"/>
  <c r="BF203" i="5"/>
  <c r="BG203" i="5"/>
  <c r="BH203" i="5"/>
  <c r="BI203" i="5"/>
  <c r="BK203" i="5"/>
  <c r="J204" i="5"/>
  <c r="P204" i="5"/>
  <c r="R204" i="5"/>
  <c r="T204" i="5"/>
  <c r="BE204" i="5"/>
  <c r="BF204" i="5"/>
  <c r="BG204" i="5"/>
  <c r="BH204" i="5"/>
  <c r="BI204" i="5"/>
  <c r="BK204" i="5"/>
  <c r="J205" i="5"/>
  <c r="P205" i="5"/>
  <c r="R205" i="5"/>
  <c r="T205" i="5"/>
  <c r="BE205" i="5"/>
  <c r="BF205" i="5"/>
  <c r="BG205" i="5"/>
  <c r="BH205" i="5"/>
  <c r="BI205" i="5"/>
  <c r="BK205" i="5"/>
  <c r="J206" i="5"/>
  <c r="P206" i="5"/>
  <c r="R206" i="5"/>
  <c r="T206" i="5"/>
  <c r="BE206" i="5"/>
  <c r="BF206" i="5"/>
  <c r="BG206" i="5"/>
  <c r="BH206" i="5"/>
  <c r="BI206" i="5"/>
  <c r="BK206" i="5"/>
  <c r="J207" i="5"/>
  <c r="P207" i="5"/>
  <c r="R207" i="5"/>
  <c r="T207" i="5"/>
  <c r="BE207" i="5"/>
  <c r="BF207" i="5"/>
  <c r="BG207" i="5"/>
  <c r="BH207" i="5"/>
  <c r="BI207" i="5"/>
  <c r="BK207" i="5"/>
  <c r="J209" i="5"/>
  <c r="P209" i="5"/>
  <c r="R209" i="5"/>
  <c r="T209" i="5"/>
  <c r="BE209" i="5"/>
  <c r="BF209" i="5"/>
  <c r="BG209" i="5"/>
  <c r="BH209" i="5"/>
  <c r="BI209" i="5"/>
  <c r="BK209" i="5"/>
  <c r="J210" i="5"/>
  <c r="P210" i="5"/>
  <c r="R210" i="5"/>
  <c r="T210" i="5"/>
  <c r="BE210" i="5"/>
  <c r="BF210" i="5"/>
  <c r="BG210" i="5"/>
  <c r="BH210" i="5"/>
  <c r="BI210" i="5"/>
  <c r="BK210" i="5"/>
  <c r="J211" i="5"/>
  <c r="P211" i="5"/>
  <c r="R211" i="5"/>
  <c r="T211" i="5"/>
  <c r="BE211" i="5"/>
  <c r="BF211" i="5"/>
  <c r="BG211" i="5"/>
  <c r="BH211" i="5"/>
  <c r="BI211" i="5"/>
  <c r="BK211" i="5"/>
  <c r="J212" i="5"/>
  <c r="P212" i="5"/>
  <c r="R212" i="5"/>
  <c r="T212" i="5"/>
  <c r="BE212" i="5"/>
  <c r="BF212" i="5"/>
  <c r="BG212" i="5"/>
  <c r="BH212" i="5"/>
  <c r="BI212" i="5"/>
  <c r="BK212" i="5"/>
  <c r="J213" i="5"/>
  <c r="P213" i="5"/>
  <c r="R213" i="5"/>
  <c r="T213" i="5"/>
  <c r="BE213" i="5"/>
  <c r="BF213" i="5"/>
  <c r="BG213" i="5"/>
  <c r="BH213" i="5"/>
  <c r="BI213" i="5"/>
  <c r="BK213" i="5"/>
  <c r="J214" i="5"/>
  <c r="P214" i="5"/>
  <c r="R214" i="5"/>
  <c r="T214" i="5"/>
  <c r="BE214" i="5"/>
  <c r="BF214" i="5"/>
  <c r="BG214" i="5"/>
  <c r="BH214" i="5"/>
  <c r="BI214" i="5"/>
  <c r="BK214" i="5"/>
  <c r="J215" i="5"/>
  <c r="P215" i="5"/>
  <c r="R215" i="5"/>
  <c r="T215" i="5"/>
  <c r="BE215" i="5"/>
  <c r="BF215" i="5"/>
  <c r="BG215" i="5"/>
  <c r="BH215" i="5"/>
  <c r="BI215" i="5"/>
  <c r="BK215" i="5"/>
  <c r="J216" i="5"/>
  <c r="P216" i="5"/>
  <c r="R216" i="5"/>
  <c r="T216" i="5"/>
  <c r="BE216" i="5"/>
  <c r="BF216" i="5"/>
  <c r="BG216" i="5"/>
  <c r="BH216" i="5"/>
  <c r="BI216" i="5"/>
  <c r="BK216" i="5"/>
  <c r="J218" i="5"/>
  <c r="BF218" i="5" s="1"/>
  <c r="P218" i="5"/>
  <c r="P217" i="5" s="1"/>
  <c r="R218" i="5"/>
  <c r="R217" i="5" s="1"/>
  <c r="T218" i="5"/>
  <c r="T217" i="5" s="1"/>
  <c r="BE218" i="5"/>
  <c r="BG218" i="5"/>
  <c r="BH218" i="5"/>
  <c r="BI218" i="5"/>
  <c r="BK218" i="5"/>
  <c r="BK217" i="5" s="1"/>
  <c r="J217" i="5" s="1"/>
  <c r="J103" i="5" s="1"/>
  <c r="J89" i="5" l="1"/>
  <c r="J122" i="9"/>
  <c r="F119" i="5"/>
  <c r="J119" i="5"/>
  <c r="J92" i="11"/>
  <c r="F92" i="11"/>
  <c r="J124" i="9"/>
  <c r="J124" i="10"/>
  <c r="F120" i="5"/>
  <c r="E85" i="5"/>
  <c r="F91" i="6"/>
  <c r="E85" i="9"/>
  <c r="E85" i="10"/>
  <c r="J92" i="5"/>
  <c r="E113" i="6"/>
  <c r="J120" i="6"/>
  <c r="F92" i="6"/>
  <c r="E109" i="8"/>
  <c r="J122" i="10"/>
  <c r="J119" i="6"/>
  <c r="J92" i="10"/>
  <c r="J91" i="11"/>
  <c r="F116" i="8"/>
  <c r="F124" i="9"/>
  <c r="F124" i="10"/>
  <c r="F92" i="10"/>
  <c r="J125" i="9"/>
  <c r="J116" i="8"/>
  <c r="F92" i="9"/>
  <c r="BK120" i="11"/>
  <c r="T120" i="11"/>
  <c r="T119" i="11" s="1"/>
  <c r="J33" i="11"/>
  <c r="F33" i="11"/>
  <c r="R120" i="11"/>
  <c r="R119" i="11" s="1"/>
  <c r="J113" i="11"/>
  <c r="F34" i="11"/>
  <c r="F115" i="11"/>
  <c r="P128" i="10"/>
  <c r="P170" i="10"/>
  <c r="R170" i="10"/>
  <c r="J34" i="10"/>
  <c r="T170" i="10"/>
  <c r="T128" i="10" s="1"/>
  <c r="R129" i="10"/>
  <c r="R128" i="10" s="1"/>
  <c r="J171" i="10"/>
  <c r="J102" i="10" s="1"/>
  <c r="BK170" i="10"/>
  <c r="J170" i="10" s="1"/>
  <c r="J101" i="10" s="1"/>
  <c r="BK129" i="10"/>
  <c r="F34" i="10"/>
  <c r="J34" i="9"/>
  <c r="T170" i="9"/>
  <c r="P128" i="9"/>
  <c r="J129" i="9"/>
  <c r="J97" i="9" s="1"/>
  <c r="BK128" i="9"/>
  <c r="J128" i="9" s="1"/>
  <c r="R170" i="9"/>
  <c r="R129" i="9"/>
  <c r="BK170" i="9"/>
  <c r="J170" i="9" s="1"/>
  <c r="J101" i="9" s="1"/>
  <c r="J171" i="9"/>
  <c r="J102" i="9" s="1"/>
  <c r="T128" i="9"/>
  <c r="F34" i="9"/>
  <c r="BK120" i="8"/>
  <c r="J121" i="8"/>
  <c r="J98" i="8" s="1"/>
  <c r="J34" i="8"/>
  <c r="F34" i="8"/>
  <c r="J113" i="8"/>
  <c r="F115" i="8"/>
  <c r="BK120" i="7"/>
  <c r="J121" i="7"/>
  <c r="J98" i="7" s="1"/>
  <c r="J34" i="7"/>
  <c r="F34" i="7"/>
  <c r="J113" i="7"/>
  <c r="J115" i="7"/>
  <c r="F115" i="7"/>
  <c r="T124" i="6"/>
  <c r="T123" i="6" s="1"/>
  <c r="J34" i="6"/>
  <c r="F34" i="6"/>
  <c r="R124" i="6"/>
  <c r="R123" i="6" s="1"/>
  <c r="BK124" i="6"/>
  <c r="J128" i="6"/>
  <c r="J99" i="6" s="1"/>
  <c r="P124" i="6"/>
  <c r="P123" i="6" s="1"/>
  <c r="R124" i="5"/>
  <c r="R123" i="5" s="1"/>
  <c r="P124" i="5"/>
  <c r="P123" i="5" s="1"/>
  <c r="J34" i="5"/>
  <c r="BK124" i="5"/>
  <c r="F34" i="5"/>
  <c r="BK119" i="11" l="1"/>
  <c r="J119" i="11" s="1"/>
  <c r="J120" i="11"/>
  <c r="J97" i="11" s="1"/>
  <c r="J129" i="10"/>
  <c r="J97" i="10" s="1"/>
  <c r="BK128" i="10"/>
  <c r="J128" i="10" s="1"/>
  <c r="J30" i="9"/>
  <c r="J39" i="9" s="1"/>
  <c r="J96" i="9"/>
  <c r="R128" i="9"/>
  <c r="BK119" i="8"/>
  <c r="J119" i="8" s="1"/>
  <c r="J120" i="8"/>
  <c r="J97" i="8" s="1"/>
  <c r="BK119" i="7"/>
  <c r="J119" i="7" s="1"/>
  <c r="J120" i="7"/>
  <c r="J97" i="7" s="1"/>
  <c r="BK123" i="6"/>
  <c r="J123" i="6" s="1"/>
  <c r="J124" i="6"/>
  <c r="J97" i="6" s="1"/>
  <c r="BK123" i="5"/>
  <c r="J123" i="5" s="1"/>
  <c r="J124" i="5"/>
  <c r="J97" i="5" s="1"/>
  <c r="J30" i="11" l="1"/>
  <c r="J39" i="11" s="1"/>
  <c r="J96" i="11"/>
  <c r="J96" i="10"/>
  <c r="J30" i="10"/>
  <c r="J39" i="10" s="1"/>
  <c r="J30" i="8"/>
  <c r="J39" i="8" s="1"/>
  <c r="J96" i="8"/>
  <c r="J30" i="7"/>
  <c r="J96" i="7"/>
  <c r="J96" i="6"/>
  <c r="J30" i="6"/>
  <c r="J39" i="6" s="1"/>
  <c r="J96" i="5"/>
  <c r="J30" i="5"/>
  <c r="J39" i="7" l="1"/>
  <c r="J39" i="5"/>
  <c r="J37" i="4" l="1"/>
  <c r="J36" i="4"/>
  <c r="AY97" i="1"/>
  <c r="J35" i="4"/>
  <c r="AX97" i="1" s="1"/>
  <c r="BI161" i="4"/>
  <c r="BH161" i="4"/>
  <c r="BG161" i="4"/>
  <c r="BE161" i="4"/>
  <c r="T161" i="4"/>
  <c r="R161" i="4"/>
  <c r="P161" i="4"/>
  <c r="BI160" i="4"/>
  <c r="BH160" i="4"/>
  <c r="BG160" i="4"/>
  <c r="BE160" i="4"/>
  <c r="T160" i="4"/>
  <c r="R160" i="4"/>
  <c r="P160" i="4"/>
  <c r="BI158" i="4"/>
  <c r="BH158" i="4"/>
  <c r="BG158" i="4"/>
  <c r="BE158" i="4"/>
  <c r="T158" i="4"/>
  <c r="R158" i="4"/>
  <c r="P158" i="4"/>
  <c r="BI157" i="4"/>
  <c r="BH157" i="4"/>
  <c r="BG157" i="4"/>
  <c r="BE157" i="4"/>
  <c r="T157" i="4"/>
  <c r="R157" i="4"/>
  <c r="P157" i="4"/>
  <c r="BI155" i="4"/>
  <c r="BH155" i="4"/>
  <c r="BG155" i="4"/>
  <c r="BE155" i="4"/>
  <c r="T155" i="4"/>
  <c r="R155" i="4"/>
  <c r="P155" i="4"/>
  <c r="BI153" i="4"/>
  <c r="BH153" i="4"/>
  <c r="BG153" i="4"/>
  <c r="BE153" i="4"/>
  <c r="T153" i="4"/>
  <c r="R153" i="4"/>
  <c r="P153" i="4"/>
  <c r="BI149" i="4"/>
  <c r="BH149" i="4"/>
  <c r="BG149" i="4"/>
  <c r="BE149" i="4"/>
  <c r="T149" i="4"/>
  <c r="R149" i="4"/>
  <c r="P149" i="4"/>
  <c r="BI147" i="4"/>
  <c r="BH147" i="4"/>
  <c r="BG147" i="4"/>
  <c r="BE147" i="4"/>
  <c r="T147" i="4"/>
  <c r="R147" i="4"/>
  <c r="P147" i="4"/>
  <c r="BI145" i="4"/>
  <c r="BH145" i="4"/>
  <c r="BG145" i="4"/>
  <c r="BE145" i="4"/>
  <c r="T145" i="4"/>
  <c r="R145" i="4"/>
  <c r="P145" i="4"/>
  <c r="BI143" i="4"/>
  <c r="BH143" i="4"/>
  <c r="BG143" i="4"/>
  <c r="BE143" i="4"/>
  <c r="T143" i="4"/>
  <c r="R143" i="4"/>
  <c r="P143" i="4"/>
  <c r="BI141" i="4"/>
  <c r="BH141" i="4"/>
  <c r="BG141" i="4"/>
  <c r="BE141" i="4"/>
  <c r="T141" i="4"/>
  <c r="R141" i="4"/>
  <c r="P141" i="4"/>
  <c r="BI140" i="4"/>
  <c r="BH140" i="4"/>
  <c r="BG140" i="4"/>
  <c r="BE140" i="4"/>
  <c r="T140" i="4"/>
  <c r="R140" i="4"/>
  <c r="P140" i="4"/>
  <c r="BI139" i="4"/>
  <c r="BH139" i="4"/>
  <c r="BG139" i="4"/>
  <c r="BE139" i="4"/>
  <c r="T139" i="4"/>
  <c r="R139" i="4"/>
  <c r="P139" i="4"/>
  <c r="BI138" i="4"/>
  <c r="BH138" i="4"/>
  <c r="BG138" i="4"/>
  <c r="BE138" i="4"/>
  <c r="T138" i="4"/>
  <c r="R138" i="4"/>
  <c r="P138" i="4"/>
  <c r="BI137" i="4"/>
  <c r="BH137" i="4"/>
  <c r="BG137" i="4"/>
  <c r="BE137" i="4"/>
  <c r="T137" i="4"/>
  <c r="R137" i="4"/>
  <c r="P137" i="4"/>
  <c r="BI136" i="4"/>
  <c r="BH136" i="4"/>
  <c r="BG136" i="4"/>
  <c r="BE136" i="4"/>
  <c r="T136" i="4"/>
  <c r="R136" i="4"/>
  <c r="P136" i="4"/>
  <c r="BI135" i="4"/>
  <c r="BH135" i="4"/>
  <c r="BG135" i="4"/>
  <c r="BE135" i="4"/>
  <c r="T135" i="4"/>
  <c r="R135" i="4"/>
  <c r="R134" i="4" s="1"/>
  <c r="P135" i="4"/>
  <c r="BI133" i="4"/>
  <c r="BH133" i="4"/>
  <c r="BG133" i="4"/>
  <c r="BE133" i="4"/>
  <c r="T133" i="4"/>
  <c r="T132" i="4" s="1"/>
  <c r="R133" i="4"/>
  <c r="R132" i="4"/>
  <c r="P133" i="4"/>
  <c r="P132" i="4"/>
  <c r="BI131" i="4"/>
  <c r="BH131" i="4"/>
  <c r="BG131" i="4"/>
  <c r="BE131" i="4"/>
  <c r="T131" i="4"/>
  <c r="T130" i="4"/>
  <c r="R131" i="4"/>
  <c r="R130" i="4" s="1"/>
  <c r="P131" i="4"/>
  <c r="P130" i="4"/>
  <c r="BI129" i="4"/>
  <c r="BH129" i="4"/>
  <c r="BG129" i="4"/>
  <c r="BE129" i="4"/>
  <c r="T129" i="4"/>
  <c r="R129" i="4"/>
  <c r="P129" i="4"/>
  <c r="BI127" i="4"/>
  <c r="BH127" i="4"/>
  <c r="BG127" i="4"/>
  <c r="BE127" i="4"/>
  <c r="T127" i="4"/>
  <c r="R127" i="4"/>
  <c r="P127" i="4"/>
  <c r="BI126" i="4"/>
  <c r="BH126" i="4"/>
  <c r="BG126" i="4"/>
  <c r="BE126" i="4"/>
  <c r="T126" i="4"/>
  <c r="R126" i="4"/>
  <c r="P126" i="4"/>
  <c r="BI125" i="4"/>
  <c r="BH125" i="4"/>
  <c r="BG125" i="4"/>
  <c r="BE125" i="4"/>
  <c r="T125" i="4"/>
  <c r="R125" i="4"/>
  <c r="P125" i="4"/>
  <c r="BI124" i="4"/>
  <c r="BH124" i="4"/>
  <c r="BG124" i="4"/>
  <c r="BE124" i="4"/>
  <c r="T124" i="4"/>
  <c r="R124" i="4"/>
  <c r="P124" i="4"/>
  <c r="J118" i="4"/>
  <c r="F118" i="4"/>
  <c r="J117" i="4"/>
  <c r="F117" i="4"/>
  <c r="F115" i="4"/>
  <c r="E113" i="4"/>
  <c r="J92" i="4"/>
  <c r="F92" i="4"/>
  <c r="J91" i="4"/>
  <c r="F91" i="4"/>
  <c r="F89" i="4"/>
  <c r="E87" i="4"/>
  <c r="J12" i="4"/>
  <c r="J89" i="4" s="1"/>
  <c r="E7" i="4"/>
  <c r="E111" i="4"/>
  <c r="J37" i="3"/>
  <c r="J36" i="3"/>
  <c r="AY96" i="1"/>
  <c r="J35" i="3"/>
  <c r="AX96" i="1" s="1"/>
  <c r="BI436" i="3"/>
  <c r="BH436" i="3"/>
  <c r="BG436" i="3"/>
  <c r="BE436" i="3"/>
  <c r="T436" i="3"/>
  <c r="T435" i="3" s="1"/>
  <c r="R436" i="3"/>
  <c r="R435" i="3"/>
  <c r="P436" i="3"/>
  <c r="P435" i="3"/>
  <c r="BI434" i="3"/>
  <c r="BH434" i="3"/>
  <c r="BG434" i="3"/>
  <c r="BE434" i="3"/>
  <c r="T434" i="3"/>
  <c r="R434" i="3"/>
  <c r="P434" i="3"/>
  <c r="BI433" i="3"/>
  <c r="BH433" i="3"/>
  <c r="BG433" i="3"/>
  <c r="BE433" i="3"/>
  <c r="T433" i="3"/>
  <c r="R433" i="3"/>
  <c r="P433" i="3"/>
  <c r="BI432" i="3"/>
  <c r="BH432" i="3"/>
  <c r="BG432" i="3"/>
  <c r="BE432" i="3"/>
  <c r="T432" i="3"/>
  <c r="R432" i="3"/>
  <c r="P432" i="3"/>
  <c r="BI431" i="3"/>
  <c r="BH431" i="3"/>
  <c r="BG431" i="3"/>
  <c r="BE431" i="3"/>
  <c r="T431" i="3"/>
  <c r="R431" i="3"/>
  <c r="P431" i="3"/>
  <c r="BI429" i="3"/>
  <c r="BH429" i="3"/>
  <c r="BG429" i="3"/>
  <c r="BE429" i="3"/>
  <c r="T429" i="3"/>
  <c r="R429" i="3"/>
  <c r="P429" i="3"/>
  <c r="BI428" i="3"/>
  <c r="BH428" i="3"/>
  <c r="BG428" i="3"/>
  <c r="BE428" i="3"/>
  <c r="T428" i="3"/>
  <c r="R428" i="3"/>
  <c r="P428" i="3"/>
  <c r="BI425" i="3"/>
  <c r="BH425" i="3"/>
  <c r="BG425" i="3"/>
  <c r="BE425" i="3"/>
  <c r="T425" i="3"/>
  <c r="R425" i="3"/>
  <c r="P425" i="3"/>
  <c r="BI424" i="3"/>
  <c r="BH424" i="3"/>
  <c r="BG424" i="3"/>
  <c r="BE424" i="3"/>
  <c r="T424" i="3"/>
  <c r="R424" i="3"/>
  <c r="P424" i="3"/>
  <c r="BI422" i="3"/>
  <c r="BH422" i="3"/>
  <c r="BG422" i="3"/>
  <c r="BE422" i="3"/>
  <c r="T422" i="3"/>
  <c r="R422" i="3"/>
  <c r="P422" i="3"/>
  <c r="BI421" i="3"/>
  <c r="BH421" i="3"/>
  <c r="BG421" i="3"/>
  <c r="BE421" i="3"/>
  <c r="T421" i="3"/>
  <c r="R421" i="3"/>
  <c r="P421" i="3"/>
  <c r="BI419" i="3"/>
  <c r="BH419" i="3"/>
  <c r="BG419" i="3"/>
  <c r="BE419" i="3"/>
  <c r="T419" i="3"/>
  <c r="R419" i="3"/>
  <c r="P419" i="3"/>
  <c r="BI418" i="3"/>
  <c r="BH418" i="3"/>
  <c r="BG418" i="3"/>
  <c r="BE418" i="3"/>
  <c r="T418" i="3"/>
  <c r="R418" i="3"/>
  <c r="P418" i="3"/>
  <c r="BI417" i="3"/>
  <c r="BH417" i="3"/>
  <c r="BG417" i="3"/>
  <c r="BE417" i="3"/>
  <c r="T417" i="3"/>
  <c r="R417" i="3"/>
  <c r="P417" i="3"/>
  <c r="BI415" i="3"/>
  <c r="BH415" i="3"/>
  <c r="BG415" i="3"/>
  <c r="BE415" i="3"/>
  <c r="T415" i="3"/>
  <c r="R415" i="3"/>
  <c r="P415" i="3"/>
  <c r="BI413" i="3"/>
  <c r="BH413" i="3"/>
  <c r="BG413" i="3"/>
  <c r="BE413" i="3"/>
  <c r="T413" i="3"/>
  <c r="R413" i="3"/>
  <c r="P413" i="3"/>
  <c r="BI412" i="3"/>
  <c r="BH412" i="3"/>
  <c r="BG412" i="3"/>
  <c r="BE412" i="3"/>
  <c r="T412" i="3"/>
  <c r="R412" i="3"/>
  <c r="P412" i="3"/>
  <c r="BI410" i="3"/>
  <c r="BH410" i="3"/>
  <c r="BG410" i="3"/>
  <c r="BE410" i="3"/>
  <c r="T410" i="3"/>
  <c r="R410" i="3"/>
  <c r="P410" i="3"/>
  <c r="BI409" i="3"/>
  <c r="BH409" i="3"/>
  <c r="BG409" i="3"/>
  <c r="BE409" i="3"/>
  <c r="T409" i="3"/>
  <c r="R409" i="3"/>
  <c r="P409" i="3"/>
  <c r="BI408" i="3"/>
  <c r="BH408" i="3"/>
  <c r="BG408" i="3"/>
  <c r="BE408" i="3"/>
  <c r="T408" i="3"/>
  <c r="R408" i="3"/>
  <c r="P408" i="3"/>
  <c r="BI407" i="3"/>
  <c r="BH407" i="3"/>
  <c r="BG407" i="3"/>
  <c r="BE407" i="3"/>
  <c r="T407" i="3"/>
  <c r="R407" i="3"/>
  <c r="P407" i="3"/>
  <c r="BI406" i="3"/>
  <c r="BH406" i="3"/>
  <c r="BG406" i="3"/>
  <c r="BE406" i="3"/>
  <c r="T406" i="3"/>
  <c r="R406" i="3"/>
  <c r="P406" i="3"/>
  <c r="BI404" i="3"/>
  <c r="BH404" i="3"/>
  <c r="BG404" i="3"/>
  <c r="BE404" i="3"/>
  <c r="T404" i="3"/>
  <c r="R404" i="3"/>
  <c r="P404" i="3"/>
  <c r="BI402" i="3"/>
  <c r="BH402" i="3"/>
  <c r="BG402" i="3"/>
  <c r="BE402" i="3"/>
  <c r="T402" i="3"/>
  <c r="R402" i="3"/>
  <c r="P402" i="3"/>
  <c r="BI401" i="3"/>
  <c r="BH401" i="3"/>
  <c r="BG401" i="3"/>
  <c r="BE401" i="3"/>
  <c r="T401" i="3"/>
  <c r="R401" i="3"/>
  <c r="P401" i="3"/>
  <c r="BI400" i="3"/>
  <c r="BH400" i="3"/>
  <c r="BG400" i="3"/>
  <c r="BE400" i="3"/>
  <c r="T400" i="3"/>
  <c r="R400" i="3"/>
  <c r="P400" i="3"/>
  <c r="BI399" i="3"/>
  <c r="BH399" i="3"/>
  <c r="BG399" i="3"/>
  <c r="BE399" i="3"/>
  <c r="T399" i="3"/>
  <c r="R399" i="3"/>
  <c r="P399" i="3"/>
  <c r="BI397" i="3"/>
  <c r="BH397" i="3"/>
  <c r="BG397" i="3"/>
  <c r="BE397" i="3"/>
  <c r="T397" i="3"/>
  <c r="R397" i="3"/>
  <c r="P397" i="3"/>
  <c r="BI396" i="3"/>
  <c r="BH396" i="3"/>
  <c r="BG396" i="3"/>
  <c r="BE396" i="3"/>
  <c r="T396" i="3"/>
  <c r="R396" i="3"/>
  <c r="P396" i="3"/>
  <c r="BI395" i="3"/>
  <c r="BH395" i="3"/>
  <c r="BG395" i="3"/>
  <c r="BE395" i="3"/>
  <c r="T395" i="3"/>
  <c r="R395" i="3"/>
  <c r="P395" i="3"/>
  <c r="BI394" i="3"/>
  <c r="BH394" i="3"/>
  <c r="BG394" i="3"/>
  <c r="BE394" i="3"/>
  <c r="T394" i="3"/>
  <c r="R394" i="3"/>
  <c r="P394" i="3"/>
  <c r="BI393" i="3"/>
  <c r="BH393" i="3"/>
  <c r="BG393" i="3"/>
  <c r="BE393" i="3"/>
  <c r="T393" i="3"/>
  <c r="R393" i="3"/>
  <c r="P393" i="3"/>
  <c r="BI392" i="3"/>
  <c r="BH392" i="3"/>
  <c r="BG392" i="3"/>
  <c r="BE392" i="3"/>
  <c r="T392" i="3"/>
  <c r="R392" i="3"/>
  <c r="P392" i="3"/>
  <c r="BI391" i="3"/>
  <c r="BH391" i="3"/>
  <c r="BG391" i="3"/>
  <c r="BE391" i="3"/>
  <c r="T391" i="3"/>
  <c r="R391" i="3"/>
  <c r="P391" i="3"/>
  <c r="BI390" i="3"/>
  <c r="BH390" i="3"/>
  <c r="BG390" i="3"/>
  <c r="BE390" i="3"/>
  <c r="T390" i="3"/>
  <c r="R390" i="3"/>
  <c r="P390" i="3"/>
  <c r="BI389" i="3"/>
  <c r="BH389" i="3"/>
  <c r="BG389" i="3"/>
  <c r="BE389" i="3"/>
  <c r="T389" i="3"/>
  <c r="R389" i="3"/>
  <c r="P389" i="3"/>
  <c r="BI388" i="3"/>
  <c r="BH388" i="3"/>
  <c r="BG388" i="3"/>
  <c r="BE388" i="3"/>
  <c r="T388" i="3"/>
  <c r="R388" i="3"/>
  <c r="P388" i="3"/>
  <c r="BI387" i="3"/>
  <c r="BH387" i="3"/>
  <c r="BG387" i="3"/>
  <c r="BE387" i="3"/>
  <c r="T387" i="3"/>
  <c r="R387" i="3"/>
  <c r="P387" i="3"/>
  <c r="BI386" i="3"/>
  <c r="BH386" i="3"/>
  <c r="BG386" i="3"/>
  <c r="BE386" i="3"/>
  <c r="T386" i="3"/>
  <c r="R386" i="3"/>
  <c r="P386" i="3"/>
  <c r="BI385" i="3"/>
  <c r="BH385" i="3"/>
  <c r="BG385" i="3"/>
  <c r="BE385" i="3"/>
  <c r="T385" i="3"/>
  <c r="R385" i="3"/>
  <c r="P385" i="3"/>
  <c r="BI384" i="3"/>
  <c r="BH384" i="3"/>
  <c r="BG384" i="3"/>
  <c r="BE384" i="3"/>
  <c r="T384" i="3"/>
  <c r="R384" i="3"/>
  <c r="P384" i="3"/>
  <c r="BI383" i="3"/>
  <c r="BH383" i="3"/>
  <c r="BG383" i="3"/>
  <c r="BE383" i="3"/>
  <c r="T383" i="3"/>
  <c r="R383" i="3"/>
  <c r="P383" i="3"/>
  <c r="BI382" i="3"/>
  <c r="BH382" i="3"/>
  <c r="BG382" i="3"/>
  <c r="BE382" i="3"/>
  <c r="T382" i="3"/>
  <c r="R382" i="3"/>
  <c r="P382" i="3"/>
  <c r="BI381" i="3"/>
  <c r="BH381" i="3"/>
  <c r="BG381" i="3"/>
  <c r="BE381" i="3"/>
  <c r="T381" i="3"/>
  <c r="R381" i="3"/>
  <c r="P381" i="3"/>
  <c r="BI379" i="3"/>
  <c r="BH379" i="3"/>
  <c r="BG379" i="3"/>
  <c r="BE379" i="3"/>
  <c r="T379" i="3"/>
  <c r="R379" i="3"/>
  <c r="P379" i="3"/>
  <c r="BI378" i="3"/>
  <c r="BH378" i="3"/>
  <c r="BG378" i="3"/>
  <c r="BE378" i="3"/>
  <c r="T378" i="3"/>
  <c r="R378" i="3"/>
  <c r="P378" i="3"/>
  <c r="BI376" i="3"/>
  <c r="BH376" i="3"/>
  <c r="BG376" i="3"/>
  <c r="BE376" i="3"/>
  <c r="T376" i="3"/>
  <c r="R376" i="3"/>
  <c r="P376" i="3"/>
  <c r="BI375" i="3"/>
  <c r="BH375" i="3"/>
  <c r="BG375" i="3"/>
  <c r="BE375" i="3"/>
  <c r="T375" i="3"/>
  <c r="R375" i="3"/>
  <c r="P375" i="3"/>
  <c r="BI374" i="3"/>
  <c r="BH374" i="3"/>
  <c r="BG374" i="3"/>
  <c r="BE374" i="3"/>
  <c r="T374" i="3"/>
  <c r="R374" i="3"/>
  <c r="P374" i="3"/>
  <c r="BI373" i="3"/>
  <c r="BH373" i="3"/>
  <c r="BG373" i="3"/>
  <c r="BE373" i="3"/>
  <c r="T373" i="3"/>
  <c r="R373" i="3"/>
  <c r="P373" i="3"/>
  <c r="BI372" i="3"/>
  <c r="BH372" i="3"/>
  <c r="BG372" i="3"/>
  <c r="BE372" i="3"/>
  <c r="T372" i="3"/>
  <c r="R372" i="3"/>
  <c r="P372" i="3"/>
  <c r="BI371" i="3"/>
  <c r="BH371" i="3"/>
  <c r="BG371" i="3"/>
  <c r="BE371" i="3"/>
  <c r="T371" i="3"/>
  <c r="R371" i="3"/>
  <c r="P371" i="3"/>
  <c r="BI370" i="3"/>
  <c r="BH370" i="3"/>
  <c r="BG370" i="3"/>
  <c r="BE370" i="3"/>
  <c r="T370" i="3"/>
  <c r="R370" i="3"/>
  <c r="P370" i="3"/>
  <c r="BI369" i="3"/>
  <c r="BH369" i="3"/>
  <c r="BG369" i="3"/>
  <c r="BE369" i="3"/>
  <c r="T369" i="3"/>
  <c r="R369" i="3"/>
  <c r="P369" i="3"/>
  <c r="BI368" i="3"/>
  <c r="BH368" i="3"/>
  <c r="BG368" i="3"/>
  <c r="BE368" i="3"/>
  <c r="T368" i="3"/>
  <c r="R368" i="3"/>
  <c r="P368" i="3"/>
  <c r="BI366" i="3"/>
  <c r="BH366" i="3"/>
  <c r="BG366" i="3"/>
  <c r="BE366" i="3"/>
  <c r="T366" i="3"/>
  <c r="R366" i="3"/>
  <c r="P366" i="3"/>
  <c r="BI365" i="3"/>
  <c r="BH365" i="3"/>
  <c r="BG365" i="3"/>
  <c r="BE365" i="3"/>
  <c r="T365" i="3"/>
  <c r="R365" i="3"/>
  <c r="P365" i="3"/>
  <c r="BI364" i="3"/>
  <c r="BH364" i="3"/>
  <c r="BG364" i="3"/>
  <c r="BE364" i="3"/>
  <c r="T364" i="3"/>
  <c r="R364" i="3"/>
  <c r="P364" i="3"/>
  <c r="BI363" i="3"/>
  <c r="BH363" i="3"/>
  <c r="BG363" i="3"/>
  <c r="BE363" i="3"/>
  <c r="T363" i="3"/>
  <c r="R363" i="3"/>
  <c r="P363" i="3"/>
  <c r="BI362" i="3"/>
  <c r="BH362" i="3"/>
  <c r="BG362" i="3"/>
  <c r="BE362" i="3"/>
  <c r="T362" i="3"/>
  <c r="R362" i="3"/>
  <c r="P362" i="3"/>
  <c r="BI361" i="3"/>
  <c r="BH361" i="3"/>
  <c r="BG361" i="3"/>
  <c r="BE361" i="3"/>
  <c r="T361" i="3"/>
  <c r="R361" i="3"/>
  <c r="P361" i="3"/>
  <c r="BI360" i="3"/>
  <c r="BH360" i="3"/>
  <c r="BG360" i="3"/>
  <c r="BE360" i="3"/>
  <c r="T360" i="3"/>
  <c r="R360" i="3"/>
  <c r="P360" i="3"/>
  <c r="BI359" i="3"/>
  <c r="BH359" i="3"/>
  <c r="BG359" i="3"/>
  <c r="BE359" i="3"/>
  <c r="T359" i="3"/>
  <c r="R359" i="3"/>
  <c r="P359" i="3"/>
  <c r="BI358" i="3"/>
  <c r="BH358" i="3"/>
  <c r="BG358" i="3"/>
  <c r="BE358" i="3"/>
  <c r="T358" i="3"/>
  <c r="R358" i="3"/>
  <c r="P358" i="3"/>
  <c r="BI357" i="3"/>
  <c r="BH357" i="3"/>
  <c r="BG357" i="3"/>
  <c r="BE357" i="3"/>
  <c r="T357" i="3"/>
  <c r="R357" i="3"/>
  <c r="P357" i="3"/>
  <c r="BI356" i="3"/>
  <c r="BH356" i="3"/>
  <c r="BG356" i="3"/>
  <c r="BE356" i="3"/>
  <c r="T356" i="3"/>
  <c r="R356" i="3"/>
  <c r="P356" i="3"/>
  <c r="BI355" i="3"/>
  <c r="BH355" i="3"/>
  <c r="BG355" i="3"/>
  <c r="BE355" i="3"/>
  <c r="T355" i="3"/>
  <c r="R355" i="3"/>
  <c r="P355" i="3"/>
  <c r="BI354" i="3"/>
  <c r="BH354" i="3"/>
  <c r="BG354" i="3"/>
  <c r="BE354" i="3"/>
  <c r="T354" i="3"/>
  <c r="R354" i="3"/>
  <c r="P354" i="3"/>
  <c r="BI352" i="3"/>
  <c r="BH352" i="3"/>
  <c r="BG352" i="3"/>
  <c r="BE352" i="3"/>
  <c r="T352" i="3"/>
  <c r="R352" i="3"/>
  <c r="P352" i="3"/>
  <c r="BI351" i="3"/>
  <c r="BH351" i="3"/>
  <c r="BG351" i="3"/>
  <c r="BE351" i="3"/>
  <c r="T351" i="3"/>
  <c r="R351" i="3"/>
  <c r="P351" i="3"/>
  <c r="BI350" i="3"/>
  <c r="BH350" i="3"/>
  <c r="BG350" i="3"/>
  <c r="BE350" i="3"/>
  <c r="T350" i="3"/>
  <c r="R350" i="3"/>
  <c r="P350" i="3"/>
  <c r="BI349" i="3"/>
  <c r="BH349" i="3"/>
  <c r="BG349" i="3"/>
  <c r="BE349" i="3"/>
  <c r="T349" i="3"/>
  <c r="R349" i="3"/>
  <c r="P349" i="3"/>
  <c r="BI348" i="3"/>
  <c r="BH348" i="3"/>
  <c r="BG348" i="3"/>
  <c r="BE348" i="3"/>
  <c r="T348" i="3"/>
  <c r="R348" i="3"/>
  <c r="P348" i="3"/>
  <c r="BI346" i="3"/>
  <c r="BH346" i="3"/>
  <c r="BG346" i="3"/>
  <c r="BE346" i="3"/>
  <c r="T346" i="3"/>
  <c r="R346" i="3"/>
  <c r="P346" i="3"/>
  <c r="BI345" i="3"/>
  <c r="BH345" i="3"/>
  <c r="BG345" i="3"/>
  <c r="BE345" i="3"/>
  <c r="T345" i="3"/>
  <c r="R345" i="3"/>
  <c r="P345" i="3"/>
  <c r="BI344" i="3"/>
  <c r="BH344" i="3"/>
  <c r="BG344" i="3"/>
  <c r="BE344" i="3"/>
  <c r="T344" i="3"/>
  <c r="R344" i="3"/>
  <c r="P344" i="3"/>
  <c r="BI343" i="3"/>
  <c r="BH343" i="3"/>
  <c r="BG343" i="3"/>
  <c r="BE343" i="3"/>
  <c r="T343" i="3"/>
  <c r="R343" i="3"/>
  <c r="P343" i="3"/>
  <c r="BI342" i="3"/>
  <c r="BH342" i="3"/>
  <c r="BG342" i="3"/>
  <c r="BE342" i="3"/>
  <c r="T342" i="3"/>
  <c r="R342" i="3"/>
  <c r="P342" i="3"/>
  <c r="BI341" i="3"/>
  <c r="BH341" i="3"/>
  <c r="BG341" i="3"/>
  <c r="BE341" i="3"/>
  <c r="T341" i="3"/>
  <c r="R341" i="3"/>
  <c r="P341" i="3"/>
  <c r="BI340" i="3"/>
  <c r="BH340" i="3"/>
  <c r="BG340" i="3"/>
  <c r="BE340" i="3"/>
  <c r="T340" i="3"/>
  <c r="R340" i="3"/>
  <c r="P340" i="3"/>
  <c r="BI339" i="3"/>
  <c r="BH339" i="3"/>
  <c r="BG339" i="3"/>
  <c r="BE339" i="3"/>
  <c r="T339" i="3"/>
  <c r="R339" i="3"/>
  <c r="P339" i="3"/>
  <c r="BI338" i="3"/>
  <c r="BH338" i="3"/>
  <c r="BG338" i="3"/>
  <c r="BE338" i="3"/>
  <c r="T338" i="3"/>
  <c r="R338" i="3"/>
  <c r="P338" i="3"/>
  <c r="BI337" i="3"/>
  <c r="BH337" i="3"/>
  <c r="BG337" i="3"/>
  <c r="BE337" i="3"/>
  <c r="T337" i="3"/>
  <c r="R337" i="3"/>
  <c r="P337" i="3"/>
  <c r="BI336" i="3"/>
  <c r="BH336" i="3"/>
  <c r="BG336" i="3"/>
  <c r="BE336" i="3"/>
  <c r="T336" i="3"/>
  <c r="R336" i="3"/>
  <c r="P336" i="3"/>
  <c r="BI335" i="3"/>
  <c r="BH335" i="3"/>
  <c r="BG335" i="3"/>
  <c r="BE335" i="3"/>
  <c r="T335" i="3"/>
  <c r="R335" i="3"/>
  <c r="P335" i="3"/>
  <c r="BI334" i="3"/>
  <c r="BH334" i="3"/>
  <c r="BG334" i="3"/>
  <c r="BE334" i="3"/>
  <c r="T334" i="3"/>
  <c r="R334" i="3"/>
  <c r="P334" i="3"/>
  <c r="BI333" i="3"/>
  <c r="BH333" i="3"/>
  <c r="BG333" i="3"/>
  <c r="BE333" i="3"/>
  <c r="T333" i="3"/>
  <c r="R333" i="3"/>
  <c r="P333" i="3"/>
  <c r="BI332" i="3"/>
  <c r="BH332" i="3"/>
  <c r="BG332" i="3"/>
  <c r="BE332" i="3"/>
  <c r="T332" i="3"/>
  <c r="R332" i="3"/>
  <c r="P332" i="3"/>
  <c r="BI331" i="3"/>
  <c r="BH331" i="3"/>
  <c r="BG331" i="3"/>
  <c r="BE331" i="3"/>
  <c r="T331" i="3"/>
  <c r="R331" i="3"/>
  <c r="P331" i="3"/>
  <c r="BI329" i="3"/>
  <c r="BH329" i="3"/>
  <c r="BG329" i="3"/>
  <c r="BE329" i="3"/>
  <c r="T329" i="3"/>
  <c r="R329" i="3"/>
  <c r="P329" i="3"/>
  <c r="BI328" i="3"/>
  <c r="BH328" i="3"/>
  <c r="BG328" i="3"/>
  <c r="BE328" i="3"/>
  <c r="T328" i="3"/>
  <c r="R328" i="3"/>
  <c r="P328" i="3"/>
  <c r="BI326" i="3"/>
  <c r="BH326" i="3"/>
  <c r="BG326" i="3"/>
  <c r="BE326" i="3"/>
  <c r="T326" i="3"/>
  <c r="T325" i="3"/>
  <c r="R326" i="3"/>
  <c r="R325" i="3" s="1"/>
  <c r="P326" i="3"/>
  <c r="P325" i="3"/>
  <c r="BI324" i="3"/>
  <c r="BH324" i="3"/>
  <c r="BG324" i="3"/>
  <c r="BE324" i="3"/>
  <c r="T324" i="3"/>
  <c r="R324" i="3"/>
  <c r="P324" i="3"/>
  <c r="BI323" i="3"/>
  <c r="BH323" i="3"/>
  <c r="BG323" i="3"/>
  <c r="BE323" i="3"/>
  <c r="T323" i="3"/>
  <c r="R323" i="3"/>
  <c r="P323" i="3"/>
  <c r="BI321" i="3"/>
  <c r="BH321" i="3"/>
  <c r="BG321" i="3"/>
  <c r="BE321" i="3"/>
  <c r="T321" i="3"/>
  <c r="R321" i="3"/>
  <c r="P321" i="3"/>
  <c r="BI320" i="3"/>
  <c r="BH320" i="3"/>
  <c r="BG320" i="3"/>
  <c r="BE320" i="3"/>
  <c r="T320" i="3"/>
  <c r="R320" i="3"/>
  <c r="P320" i="3"/>
  <c r="BI319" i="3"/>
  <c r="BH319" i="3"/>
  <c r="BG319" i="3"/>
  <c r="BE319" i="3"/>
  <c r="T319" i="3"/>
  <c r="R319" i="3"/>
  <c r="P319" i="3"/>
  <c r="BI318" i="3"/>
  <c r="BH318" i="3"/>
  <c r="BG318" i="3"/>
  <c r="BE318" i="3"/>
  <c r="T318" i="3"/>
  <c r="R318" i="3"/>
  <c r="P318" i="3"/>
  <c r="BI317" i="3"/>
  <c r="BH317" i="3"/>
  <c r="BG317" i="3"/>
  <c r="BE317" i="3"/>
  <c r="T317" i="3"/>
  <c r="R317" i="3"/>
  <c r="P317" i="3"/>
  <c r="BI316" i="3"/>
  <c r="BH316" i="3"/>
  <c r="BG316" i="3"/>
  <c r="BE316" i="3"/>
  <c r="T316" i="3"/>
  <c r="R316" i="3"/>
  <c r="P316" i="3"/>
  <c r="BI315" i="3"/>
  <c r="BH315" i="3"/>
  <c r="BG315" i="3"/>
  <c r="BE315" i="3"/>
  <c r="T315" i="3"/>
  <c r="R315" i="3"/>
  <c r="P315" i="3"/>
  <c r="BI313" i="3"/>
  <c r="BH313" i="3"/>
  <c r="BG313" i="3"/>
  <c r="BE313" i="3"/>
  <c r="T313" i="3"/>
  <c r="R313" i="3"/>
  <c r="P313" i="3"/>
  <c r="BI311" i="3"/>
  <c r="BH311" i="3"/>
  <c r="BG311" i="3"/>
  <c r="BE311" i="3"/>
  <c r="T311" i="3"/>
  <c r="R311" i="3"/>
  <c r="P311" i="3"/>
  <c r="BI310" i="3"/>
  <c r="BH310" i="3"/>
  <c r="BG310" i="3"/>
  <c r="BE310" i="3"/>
  <c r="T310" i="3"/>
  <c r="R310" i="3"/>
  <c r="P310" i="3"/>
  <c r="BI308" i="3"/>
  <c r="BH308" i="3"/>
  <c r="BG308" i="3"/>
  <c r="BE308" i="3"/>
  <c r="T308" i="3"/>
  <c r="R308" i="3"/>
  <c r="P308" i="3"/>
  <c r="BI307" i="3"/>
  <c r="BH307" i="3"/>
  <c r="BG307" i="3"/>
  <c r="BE307" i="3"/>
  <c r="T307" i="3"/>
  <c r="R307" i="3"/>
  <c r="P307" i="3"/>
  <c r="BI305" i="3"/>
  <c r="BH305" i="3"/>
  <c r="BG305" i="3"/>
  <c r="BE305" i="3"/>
  <c r="T305" i="3"/>
  <c r="R305" i="3"/>
  <c r="P305" i="3"/>
  <c r="BI303" i="3"/>
  <c r="BH303" i="3"/>
  <c r="BG303" i="3"/>
  <c r="BE303" i="3"/>
  <c r="T303" i="3"/>
  <c r="R303" i="3"/>
  <c r="P303" i="3"/>
  <c r="BI301" i="3"/>
  <c r="BH301" i="3"/>
  <c r="BG301" i="3"/>
  <c r="BE301" i="3"/>
  <c r="T301" i="3"/>
  <c r="R301" i="3"/>
  <c r="P301" i="3"/>
  <c r="BI300" i="3"/>
  <c r="BH300" i="3"/>
  <c r="BG300" i="3"/>
  <c r="BE300" i="3"/>
  <c r="T300" i="3"/>
  <c r="R300" i="3"/>
  <c r="P300" i="3"/>
  <c r="BI298" i="3"/>
  <c r="BH298" i="3"/>
  <c r="BG298" i="3"/>
  <c r="BE298" i="3"/>
  <c r="T298" i="3"/>
  <c r="R298" i="3"/>
  <c r="P298" i="3"/>
  <c r="BI296" i="3"/>
  <c r="BH296" i="3"/>
  <c r="BG296" i="3"/>
  <c r="BE296" i="3"/>
  <c r="T296" i="3"/>
  <c r="R296" i="3"/>
  <c r="P296" i="3"/>
  <c r="BI295" i="3"/>
  <c r="BH295" i="3"/>
  <c r="BG295" i="3"/>
  <c r="BE295" i="3"/>
  <c r="T295" i="3"/>
  <c r="R295" i="3"/>
  <c r="P295" i="3"/>
  <c r="BI293" i="3"/>
  <c r="BH293" i="3"/>
  <c r="BG293" i="3"/>
  <c r="BE293" i="3"/>
  <c r="T293" i="3"/>
  <c r="R293" i="3"/>
  <c r="P293" i="3"/>
  <c r="BI292" i="3"/>
  <c r="BH292" i="3"/>
  <c r="BG292" i="3"/>
  <c r="BE292" i="3"/>
  <c r="T292" i="3"/>
  <c r="R292" i="3"/>
  <c r="P292" i="3"/>
  <c r="BI290" i="3"/>
  <c r="BH290" i="3"/>
  <c r="BG290" i="3"/>
  <c r="BE290" i="3"/>
  <c r="T290" i="3"/>
  <c r="R290" i="3"/>
  <c r="P290" i="3"/>
  <c r="BI288" i="3"/>
  <c r="BH288" i="3"/>
  <c r="BG288" i="3"/>
  <c r="BE288" i="3"/>
  <c r="T288" i="3"/>
  <c r="R288" i="3"/>
  <c r="P288" i="3"/>
  <c r="BI287" i="3"/>
  <c r="BH287" i="3"/>
  <c r="BG287" i="3"/>
  <c r="BE287" i="3"/>
  <c r="T287" i="3"/>
  <c r="R287" i="3"/>
  <c r="P287" i="3"/>
  <c r="BI285" i="3"/>
  <c r="BH285" i="3"/>
  <c r="BG285" i="3"/>
  <c r="BE285" i="3"/>
  <c r="T285" i="3"/>
  <c r="R285" i="3"/>
  <c r="P285" i="3"/>
  <c r="BI283" i="3"/>
  <c r="BH283" i="3"/>
  <c r="BG283" i="3"/>
  <c r="BE283" i="3"/>
  <c r="T283" i="3"/>
  <c r="R283" i="3"/>
  <c r="P283" i="3"/>
  <c r="BI282" i="3"/>
  <c r="BH282" i="3"/>
  <c r="BG282" i="3"/>
  <c r="BE282" i="3"/>
  <c r="T282" i="3"/>
  <c r="R282" i="3"/>
  <c r="P282" i="3"/>
  <c r="BI280" i="3"/>
  <c r="BH280" i="3"/>
  <c r="BG280" i="3"/>
  <c r="BE280" i="3"/>
  <c r="T280" i="3"/>
  <c r="R280" i="3"/>
  <c r="P280" i="3"/>
  <c r="BI278" i="3"/>
  <c r="BH278" i="3"/>
  <c r="BG278" i="3"/>
  <c r="BE278" i="3"/>
  <c r="T278" i="3"/>
  <c r="R278" i="3"/>
  <c r="P278" i="3"/>
  <c r="BI277" i="3"/>
  <c r="BH277" i="3"/>
  <c r="BG277" i="3"/>
  <c r="BE277" i="3"/>
  <c r="T277" i="3"/>
  <c r="R277" i="3"/>
  <c r="P277" i="3"/>
  <c r="BI275" i="3"/>
  <c r="BH275" i="3"/>
  <c r="BG275" i="3"/>
  <c r="BE275" i="3"/>
  <c r="T275" i="3"/>
  <c r="R275" i="3"/>
  <c r="P275" i="3"/>
  <c r="BI274" i="3"/>
  <c r="BH274" i="3"/>
  <c r="BG274" i="3"/>
  <c r="BE274" i="3"/>
  <c r="T274" i="3"/>
  <c r="R274" i="3"/>
  <c r="P274" i="3"/>
  <c r="BI272" i="3"/>
  <c r="BH272" i="3"/>
  <c r="BG272" i="3"/>
  <c r="BE272" i="3"/>
  <c r="T272" i="3"/>
  <c r="R272" i="3"/>
  <c r="P272" i="3"/>
  <c r="BI271" i="3"/>
  <c r="BH271" i="3"/>
  <c r="BG271" i="3"/>
  <c r="BE271" i="3"/>
  <c r="T271" i="3"/>
  <c r="R271" i="3"/>
  <c r="P271" i="3"/>
  <c r="BI269" i="3"/>
  <c r="BH269" i="3"/>
  <c r="BG269" i="3"/>
  <c r="BE269" i="3"/>
  <c r="T269" i="3"/>
  <c r="R269" i="3"/>
  <c r="P269" i="3"/>
  <c r="BI268" i="3"/>
  <c r="BH268" i="3"/>
  <c r="BG268" i="3"/>
  <c r="BE268" i="3"/>
  <c r="T268" i="3"/>
  <c r="R268" i="3"/>
  <c r="P268" i="3"/>
  <c r="BI266" i="3"/>
  <c r="BH266" i="3"/>
  <c r="BG266" i="3"/>
  <c r="BE266" i="3"/>
  <c r="T266" i="3"/>
  <c r="R266" i="3"/>
  <c r="P266" i="3"/>
  <c r="BI265" i="3"/>
  <c r="BH265" i="3"/>
  <c r="BG265" i="3"/>
  <c r="BE265" i="3"/>
  <c r="T265" i="3"/>
  <c r="R265" i="3"/>
  <c r="P265" i="3"/>
  <c r="BI263" i="3"/>
  <c r="BH263" i="3"/>
  <c r="BG263" i="3"/>
  <c r="BE263" i="3"/>
  <c r="T263" i="3"/>
  <c r="R263" i="3"/>
  <c r="P263" i="3"/>
  <c r="BI262" i="3"/>
  <c r="BH262" i="3"/>
  <c r="BG262" i="3"/>
  <c r="BE262" i="3"/>
  <c r="T262" i="3"/>
  <c r="R262" i="3"/>
  <c r="P262" i="3"/>
  <c r="BI260" i="3"/>
  <c r="BH260" i="3"/>
  <c r="BG260" i="3"/>
  <c r="BE260" i="3"/>
  <c r="T260" i="3"/>
  <c r="R260" i="3"/>
  <c r="P260" i="3"/>
  <c r="BI259" i="3"/>
  <c r="BH259" i="3"/>
  <c r="BG259" i="3"/>
  <c r="BE259" i="3"/>
  <c r="T259" i="3"/>
  <c r="R259" i="3"/>
  <c r="P259" i="3"/>
  <c r="BI258" i="3"/>
  <c r="BH258" i="3"/>
  <c r="BG258" i="3"/>
  <c r="BE258" i="3"/>
  <c r="T258" i="3"/>
  <c r="R258" i="3"/>
  <c r="P258" i="3"/>
  <c r="BI256" i="3"/>
  <c r="BH256" i="3"/>
  <c r="BG256" i="3"/>
  <c r="BE256" i="3"/>
  <c r="T256" i="3"/>
  <c r="R256" i="3"/>
  <c r="P256" i="3"/>
  <c r="BI255" i="3"/>
  <c r="BH255" i="3"/>
  <c r="BG255" i="3"/>
  <c r="BE255" i="3"/>
  <c r="T255" i="3"/>
  <c r="R255" i="3"/>
  <c r="P255" i="3"/>
  <c r="BI253" i="3"/>
  <c r="BH253" i="3"/>
  <c r="BG253" i="3"/>
  <c r="BE253" i="3"/>
  <c r="T253" i="3"/>
  <c r="R253" i="3"/>
  <c r="P253" i="3"/>
  <c r="BI252" i="3"/>
  <c r="BH252" i="3"/>
  <c r="BG252" i="3"/>
  <c r="BE252" i="3"/>
  <c r="T252" i="3"/>
  <c r="R252" i="3"/>
  <c r="P252" i="3"/>
  <c r="BI250" i="3"/>
  <c r="BH250" i="3"/>
  <c r="BG250" i="3"/>
  <c r="BE250" i="3"/>
  <c r="T250" i="3"/>
  <c r="R250" i="3"/>
  <c r="P250" i="3"/>
  <c r="BI249" i="3"/>
  <c r="BH249" i="3"/>
  <c r="BG249" i="3"/>
  <c r="BE249" i="3"/>
  <c r="T249" i="3"/>
  <c r="R249" i="3"/>
  <c r="P249" i="3"/>
  <c r="BI247" i="3"/>
  <c r="BH247" i="3"/>
  <c r="BG247" i="3"/>
  <c r="BE247" i="3"/>
  <c r="T247" i="3"/>
  <c r="R247" i="3"/>
  <c r="P247" i="3"/>
  <c r="BI246" i="3"/>
  <c r="BH246" i="3"/>
  <c r="BG246" i="3"/>
  <c r="BE246" i="3"/>
  <c r="T246" i="3"/>
  <c r="R246" i="3"/>
  <c r="P246" i="3"/>
  <c r="BI243" i="3"/>
  <c r="BH243" i="3"/>
  <c r="BG243" i="3"/>
  <c r="BE243" i="3"/>
  <c r="T243" i="3"/>
  <c r="T242" i="3"/>
  <c r="R243" i="3"/>
  <c r="R242" i="3" s="1"/>
  <c r="P243" i="3"/>
  <c r="P242" i="3"/>
  <c r="BI241" i="3"/>
  <c r="BH241" i="3"/>
  <c r="BG241" i="3"/>
  <c r="BE241" i="3"/>
  <c r="T241" i="3"/>
  <c r="R241" i="3"/>
  <c r="P241" i="3"/>
  <c r="BI240" i="3"/>
  <c r="BH240" i="3"/>
  <c r="BG240" i="3"/>
  <c r="BE240" i="3"/>
  <c r="T240" i="3"/>
  <c r="R240" i="3"/>
  <c r="P240" i="3"/>
  <c r="BI239" i="3"/>
  <c r="BH239" i="3"/>
  <c r="BG239" i="3"/>
  <c r="BE239" i="3"/>
  <c r="T239" i="3"/>
  <c r="R239" i="3"/>
  <c r="P239" i="3"/>
  <c r="BI238" i="3"/>
  <c r="BH238" i="3"/>
  <c r="BG238" i="3"/>
  <c r="BE238" i="3"/>
  <c r="T238" i="3"/>
  <c r="R238" i="3"/>
  <c r="P238" i="3"/>
  <c r="BI237" i="3"/>
  <c r="BH237" i="3"/>
  <c r="BG237" i="3"/>
  <c r="BE237" i="3"/>
  <c r="T237" i="3"/>
  <c r="R237" i="3"/>
  <c r="P237" i="3"/>
  <c r="BI236" i="3"/>
  <c r="BH236" i="3"/>
  <c r="BG236" i="3"/>
  <c r="BE236" i="3"/>
  <c r="T236" i="3"/>
  <c r="R236" i="3"/>
  <c r="P236" i="3"/>
  <c r="BI235" i="3"/>
  <c r="BH235" i="3"/>
  <c r="BG235" i="3"/>
  <c r="BE235" i="3"/>
  <c r="T235" i="3"/>
  <c r="R235" i="3"/>
  <c r="P235" i="3"/>
  <c r="BI234" i="3"/>
  <c r="BH234" i="3"/>
  <c r="BG234" i="3"/>
  <c r="BE234" i="3"/>
  <c r="T234" i="3"/>
  <c r="R234" i="3"/>
  <c r="P234" i="3"/>
  <c r="BI233" i="3"/>
  <c r="BH233" i="3"/>
  <c r="BG233" i="3"/>
  <c r="BE233" i="3"/>
  <c r="T233" i="3"/>
  <c r="R233" i="3"/>
  <c r="P233" i="3"/>
  <c r="BI232" i="3"/>
  <c r="BH232" i="3"/>
  <c r="BG232" i="3"/>
  <c r="BE232" i="3"/>
  <c r="T232" i="3"/>
  <c r="R232" i="3"/>
  <c r="P232" i="3"/>
  <c r="BI231" i="3"/>
  <c r="BH231" i="3"/>
  <c r="BG231" i="3"/>
  <c r="BE231" i="3"/>
  <c r="T231" i="3"/>
  <c r="R231" i="3"/>
  <c r="P231" i="3"/>
  <c r="BI230" i="3"/>
  <c r="BH230" i="3"/>
  <c r="BG230" i="3"/>
  <c r="BE230" i="3"/>
  <c r="T230" i="3"/>
  <c r="R230" i="3"/>
  <c r="P230" i="3"/>
  <c r="BI229" i="3"/>
  <c r="BH229" i="3"/>
  <c r="BG229" i="3"/>
  <c r="BE229" i="3"/>
  <c r="T229" i="3"/>
  <c r="R229" i="3"/>
  <c r="P229" i="3"/>
  <c r="BI228" i="3"/>
  <c r="BH228" i="3"/>
  <c r="BG228" i="3"/>
  <c r="BE228" i="3"/>
  <c r="T228" i="3"/>
  <c r="R228" i="3"/>
  <c r="P228" i="3"/>
  <c r="BI227" i="3"/>
  <c r="BH227" i="3"/>
  <c r="BG227" i="3"/>
  <c r="BE227" i="3"/>
  <c r="T227" i="3"/>
  <c r="R227" i="3"/>
  <c r="P227" i="3"/>
  <c r="BI226" i="3"/>
  <c r="BH226" i="3"/>
  <c r="BG226" i="3"/>
  <c r="BE226" i="3"/>
  <c r="T226" i="3"/>
  <c r="R226" i="3"/>
  <c r="P226" i="3"/>
  <c r="BI225" i="3"/>
  <c r="BH225" i="3"/>
  <c r="BG225" i="3"/>
  <c r="BE225" i="3"/>
  <c r="T225" i="3"/>
  <c r="R225" i="3"/>
  <c r="P225" i="3"/>
  <c r="BI224" i="3"/>
  <c r="BH224" i="3"/>
  <c r="BG224" i="3"/>
  <c r="BE224" i="3"/>
  <c r="T224" i="3"/>
  <c r="R224" i="3"/>
  <c r="P224" i="3"/>
  <c r="BI223" i="3"/>
  <c r="BH223" i="3"/>
  <c r="BG223" i="3"/>
  <c r="BE223" i="3"/>
  <c r="T223" i="3"/>
  <c r="R223" i="3"/>
  <c r="P223" i="3"/>
  <c r="BI221" i="3"/>
  <c r="BH221" i="3"/>
  <c r="BG221" i="3"/>
  <c r="BE221" i="3"/>
  <c r="T221" i="3"/>
  <c r="R221" i="3"/>
  <c r="P221" i="3"/>
  <c r="BI220" i="3"/>
  <c r="BH220" i="3"/>
  <c r="BG220" i="3"/>
  <c r="BE220" i="3"/>
  <c r="T220" i="3"/>
  <c r="R220" i="3"/>
  <c r="P220" i="3"/>
  <c r="BI219" i="3"/>
  <c r="BH219" i="3"/>
  <c r="BG219" i="3"/>
  <c r="BE219" i="3"/>
  <c r="T219" i="3"/>
  <c r="R219" i="3"/>
  <c r="P219" i="3"/>
  <c r="BI218" i="3"/>
  <c r="BH218" i="3"/>
  <c r="BG218" i="3"/>
  <c r="BE218" i="3"/>
  <c r="T218" i="3"/>
  <c r="R218" i="3"/>
  <c r="P218" i="3"/>
  <c r="BI217" i="3"/>
  <c r="BH217" i="3"/>
  <c r="BG217" i="3"/>
  <c r="BE217" i="3"/>
  <c r="T217" i="3"/>
  <c r="R217" i="3"/>
  <c r="P217" i="3"/>
  <c r="BI216" i="3"/>
  <c r="BH216" i="3"/>
  <c r="BG216" i="3"/>
  <c r="BE216" i="3"/>
  <c r="T216" i="3"/>
  <c r="R216" i="3"/>
  <c r="P216" i="3"/>
  <c r="BI215" i="3"/>
  <c r="BH215" i="3"/>
  <c r="BG215" i="3"/>
  <c r="BE215" i="3"/>
  <c r="T215" i="3"/>
  <c r="R215" i="3"/>
  <c r="P215" i="3"/>
  <c r="BI213" i="3"/>
  <c r="BH213" i="3"/>
  <c r="BG213" i="3"/>
  <c r="BE213" i="3"/>
  <c r="T213" i="3"/>
  <c r="R213" i="3"/>
  <c r="P213" i="3"/>
  <c r="BI212" i="3"/>
  <c r="BH212" i="3"/>
  <c r="BG212" i="3"/>
  <c r="BE212" i="3"/>
  <c r="T212" i="3"/>
  <c r="R212" i="3"/>
  <c r="P212" i="3"/>
  <c r="BI210" i="3"/>
  <c r="BH210" i="3"/>
  <c r="BG210" i="3"/>
  <c r="BE210" i="3"/>
  <c r="T210" i="3"/>
  <c r="R210" i="3"/>
  <c r="P210" i="3"/>
  <c r="BI209" i="3"/>
  <c r="BH209" i="3"/>
  <c r="BG209" i="3"/>
  <c r="BE209" i="3"/>
  <c r="T209" i="3"/>
  <c r="R209" i="3"/>
  <c r="P209" i="3"/>
  <c r="BI207" i="3"/>
  <c r="BH207" i="3"/>
  <c r="BG207" i="3"/>
  <c r="BE207" i="3"/>
  <c r="T207" i="3"/>
  <c r="R207" i="3"/>
  <c r="P207" i="3"/>
  <c r="BI206" i="3"/>
  <c r="BH206" i="3"/>
  <c r="BG206" i="3"/>
  <c r="BE206" i="3"/>
  <c r="T206" i="3"/>
  <c r="R206" i="3"/>
  <c r="P206" i="3"/>
  <c r="BI205" i="3"/>
  <c r="BH205" i="3"/>
  <c r="BG205" i="3"/>
  <c r="BE205" i="3"/>
  <c r="T205" i="3"/>
  <c r="R205" i="3"/>
  <c r="P205" i="3"/>
  <c r="BI203" i="3"/>
  <c r="BH203" i="3"/>
  <c r="BG203" i="3"/>
  <c r="BE203" i="3"/>
  <c r="T203" i="3"/>
  <c r="R203" i="3"/>
  <c r="P203" i="3"/>
  <c r="BI202" i="3"/>
  <c r="BH202" i="3"/>
  <c r="BG202" i="3"/>
  <c r="BE202" i="3"/>
  <c r="T202" i="3"/>
  <c r="R202" i="3"/>
  <c r="P202" i="3"/>
  <c r="BI201" i="3"/>
  <c r="BH201" i="3"/>
  <c r="BG201" i="3"/>
  <c r="BE201" i="3"/>
  <c r="T201" i="3"/>
  <c r="R201" i="3"/>
  <c r="P201" i="3"/>
  <c r="BI200" i="3"/>
  <c r="BH200" i="3"/>
  <c r="BG200" i="3"/>
  <c r="BE200" i="3"/>
  <c r="T200" i="3"/>
  <c r="R200" i="3"/>
  <c r="P200" i="3"/>
  <c r="BI199" i="3"/>
  <c r="BH199" i="3"/>
  <c r="BG199" i="3"/>
  <c r="BE199" i="3"/>
  <c r="T199" i="3"/>
  <c r="R199" i="3"/>
  <c r="P199" i="3"/>
  <c r="BI198" i="3"/>
  <c r="BH198" i="3"/>
  <c r="BG198" i="3"/>
  <c r="BE198" i="3"/>
  <c r="T198" i="3"/>
  <c r="R198" i="3"/>
  <c r="P198" i="3"/>
  <c r="BI197" i="3"/>
  <c r="BH197" i="3"/>
  <c r="BG197" i="3"/>
  <c r="BE197" i="3"/>
  <c r="T197" i="3"/>
  <c r="R197" i="3"/>
  <c r="P197" i="3"/>
  <c r="BI196" i="3"/>
  <c r="BH196" i="3"/>
  <c r="BG196" i="3"/>
  <c r="BE196" i="3"/>
  <c r="T196" i="3"/>
  <c r="R196" i="3"/>
  <c r="P196" i="3"/>
  <c r="BI194" i="3"/>
  <c r="BH194" i="3"/>
  <c r="BG194" i="3"/>
  <c r="BE194" i="3"/>
  <c r="T194" i="3"/>
  <c r="R194" i="3"/>
  <c r="P194" i="3"/>
  <c r="BI193" i="3"/>
  <c r="BH193" i="3"/>
  <c r="BG193" i="3"/>
  <c r="BE193" i="3"/>
  <c r="T193" i="3"/>
  <c r="R193" i="3"/>
  <c r="P193" i="3"/>
  <c r="BI192" i="3"/>
  <c r="BH192" i="3"/>
  <c r="BG192" i="3"/>
  <c r="BE192" i="3"/>
  <c r="T192" i="3"/>
  <c r="R192" i="3"/>
  <c r="P192" i="3"/>
  <c r="BI191" i="3"/>
  <c r="BH191" i="3"/>
  <c r="BG191" i="3"/>
  <c r="BE191" i="3"/>
  <c r="T191" i="3"/>
  <c r="R191" i="3"/>
  <c r="P191" i="3"/>
  <c r="BI190" i="3"/>
  <c r="BH190" i="3"/>
  <c r="BG190" i="3"/>
  <c r="BE190" i="3"/>
  <c r="T190" i="3"/>
  <c r="R190" i="3"/>
  <c r="P190" i="3"/>
  <c r="BI189" i="3"/>
  <c r="BH189" i="3"/>
  <c r="BG189" i="3"/>
  <c r="BE189" i="3"/>
  <c r="T189" i="3"/>
  <c r="R189" i="3"/>
  <c r="P189" i="3"/>
  <c r="BI188" i="3"/>
  <c r="BH188" i="3"/>
  <c r="BG188" i="3"/>
  <c r="BE188" i="3"/>
  <c r="T188" i="3"/>
  <c r="R188" i="3"/>
  <c r="P188" i="3"/>
  <c r="BI187" i="3"/>
  <c r="BH187" i="3"/>
  <c r="BG187" i="3"/>
  <c r="BE187" i="3"/>
  <c r="T187" i="3"/>
  <c r="R187" i="3"/>
  <c r="P187" i="3"/>
  <c r="BI186" i="3"/>
  <c r="BH186" i="3"/>
  <c r="BG186" i="3"/>
  <c r="BE186" i="3"/>
  <c r="T186" i="3"/>
  <c r="R186" i="3"/>
  <c r="P186" i="3"/>
  <c r="BI185" i="3"/>
  <c r="BH185" i="3"/>
  <c r="BG185" i="3"/>
  <c r="BE185" i="3"/>
  <c r="T185" i="3"/>
  <c r="R185" i="3"/>
  <c r="P185" i="3"/>
  <c r="BI184" i="3"/>
  <c r="BH184" i="3"/>
  <c r="BG184" i="3"/>
  <c r="BE184" i="3"/>
  <c r="T184" i="3"/>
  <c r="R184" i="3"/>
  <c r="P184" i="3"/>
  <c r="BI183" i="3"/>
  <c r="BH183" i="3"/>
  <c r="BG183" i="3"/>
  <c r="BE183" i="3"/>
  <c r="T183" i="3"/>
  <c r="R183" i="3"/>
  <c r="P183" i="3"/>
  <c r="BI182" i="3"/>
  <c r="BH182" i="3"/>
  <c r="BG182" i="3"/>
  <c r="BE182" i="3"/>
  <c r="T182" i="3"/>
  <c r="R182" i="3"/>
  <c r="P182" i="3"/>
  <c r="BI181" i="3"/>
  <c r="BH181" i="3"/>
  <c r="BG181" i="3"/>
  <c r="BE181" i="3"/>
  <c r="T181" i="3"/>
  <c r="R181" i="3"/>
  <c r="P181" i="3"/>
  <c r="BI180" i="3"/>
  <c r="BH180" i="3"/>
  <c r="BG180" i="3"/>
  <c r="BE180" i="3"/>
  <c r="T180" i="3"/>
  <c r="R180" i="3"/>
  <c r="P180" i="3"/>
  <c r="BI178" i="3"/>
  <c r="BH178" i="3"/>
  <c r="BG178" i="3"/>
  <c r="BE178" i="3"/>
  <c r="T178" i="3"/>
  <c r="R178" i="3"/>
  <c r="P178" i="3"/>
  <c r="BI177" i="3"/>
  <c r="BH177" i="3"/>
  <c r="BG177" i="3"/>
  <c r="BE177" i="3"/>
  <c r="T177" i="3"/>
  <c r="R177" i="3"/>
  <c r="P177" i="3"/>
  <c r="BI176" i="3"/>
  <c r="BH176" i="3"/>
  <c r="BG176" i="3"/>
  <c r="BE176" i="3"/>
  <c r="T176" i="3"/>
  <c r="R176" i="3"/>
  <c r="P176" i="3"/>
  <c r="BI175" i="3"/>
  <c r="BH175" i="3"/>
  <c r="BG175" i="3"/>
  <c r="BE175" i="3"/>
  <c r="T175" i="3"/>
  <c r="R175" i="3"/>
  <c r="P175" i="3"/>
  <c r="BI173" i="3"/>
  <c r="BH173" i="3"/>
  <c r="BG173" i="3"/>
  <c r="BE173" i="3"/>
  <c r="T173" i="3"/>
  <c r="R173" i="3"/>
  <c r="P173" i="3"/>
  <c r="BI172" i="3"/>
  <c r="BH172" i="3"/>
  <c r="BG172" i="3"/>
  <c r="BE172" i="3"/>
  <c r="T172" i="3"/>
  <c r="R172" i="3"/>
  <c r="P172" i="3"/>
  <c r="BI171" i="3"/>
  <c r="BH171" i="3"/>
  <c r="BG171" i="3"/>
  <c r="BE171" i="3"/>
  <c r="T171" i="3"/>
  <c r="R171" i="3"/>
  <c r="P171" i="3"/>
  <c r="BI170" i="3"/>
  <c r="BH170" i="3"/>
  <c r="BG170" i="3"/>
  <c r="BE170" i="3"/>
  <c r="T170" i="3"/>
  <c r="R170" i="3"/>
  <c r="P170" i="3"/>
  <c r="BI169" i="3"/>
  <c r="BH169" i="3"/>
  <c r="BG169" i="3"/>
  <c r="BE169" i="3"/>
  <c r="T169" i="3"/>
  <c r="R169" i="3"/>
  <c r="P169" i="3"/>
  <c r="BI168" i="3"/>
  <c r="BH168" i="3"/>
  <c r="BG168" i="3"/>
  <c r="BE168" i="3"/>
  <c r="T168" i="3"/>
  <c r="R168" i="3"/>
  <c r="P168" i="3"/>
  <c r="BI167" i="3"/>
  <c r="BH167" i="3"/>
  <c r="BG167" i="3"/>
  <c r="BE167" i="3"/>
  <c r="T167" i="3"/>
  <c r="R167" i="3"/>
  <c r="P167" i="3"/>
  <c r="BI166" i="3"/>
  <c r="BH166" i="3"/>
  <c r="BG166" i="3"/>
  <c r="BE166" i="3"/>
  <c r="T166" i="3"/>
  <c r="R166" i="3"/>
  <c r="P166" i="3"/>
  <c r="BI165" i="3"/>
  <c r="BH165" i="3"/>
  <c r="BG165" i="3"/>
  <c r="BE165" i="3"/>
  <c r="T165" i="3"/>
  <c r="R165" i="3"/>
  <c r="P165" i="3"/>
  <c r="BI164" i="3"/>
  <c r="BH164" i="3"/>
  <c r="BG164" i="3"/>
  <c r="BE164" i="3"/>
  <c r="T164" i="3"/>
  <c r="R164" i="3"/>
  <c r="P164" i="3"/>
  <c r="BI163" i="3"/>
  <c r="BH163" i="3"/>
  <c r="BG163" i="3"/>
  <c r="BE163" i="3"/>
  <c r="T163" i="3"/>
  <c r="R163" i="3"/>
  <c r="P163" i="3"/>
  <c r="BI162" i="3"/>
  <c r="BH162" i="3"/>
  <c r="BG162" i="3"/>
  <c r="BE162" i="3"/>
  <c r="T162" i="3"/>
  <c r="R162" i="3"/>
  <c r="P162" i="3"/>
  <c r="BI161" i="3"/>
  <c r="BH161" i="3"/>
  <c r="BG161" i="3"/>
  <c r="BE161" i="3"/>
  <c r="T161" i="3"/>
  <c r="R161" i="3"/>
  <c r="P161" i="3"/>
  <c r="BI160" i="3"/>
  <c r="BH160" i="3"/>
  <c r="BG160" i="3"/>
  <c r="BE160" i="3"/>
  <c r="T160" i="3"/>
  <c r="R160" i="3"/>
  <c r="P160" i="3"/>
  <c r="BI159" i="3"/>
  <c r="BH159" i="3"/>
  <c r="BG159" i="3"/>
  <c r="BE159" i="3"/>
  <c r="T159" i="3"/>
  <c r="R159" i="3"/>
  <c r="P159" i="3"/>
  <c r="BI157" i="3"/>
  <c r="BH157" i="3"/>
  <c r="BG157" i="3"/>
  <c r="BE157" i="3"/>
  <c r="T157" i="3"/>
  <c r="R157" i="3"/>
  <c r="P157" i="3"/>
  <c r="BI156" i="3"/>
  <c r="BH156" i="3"/>
  <c r="BG156" i="3"/>
  <c r="BE156" i="3"/>
  <c r="T156" i="3"/>
  <c r="R156" i="3"/>
  <c r="P156" i="3"/>
  <c r="BI155" i="3"/>
  <c r="BH155" i="3"/>
  <c r="BG155" i="3"/>
  <c r="BE155" i="3"/>
  <c r="T155" i="3"/>
  <c r="R155" i="3"/>
  <c r="P155" i="3"/>
  <c r="BI154" i="3"/>
  <c r="BH154" i="3"/>
  <c r="BG154" i="3"/>
  <c r="BE154" i="3"/>
  <c r="T154" i="3"/>
  <c r="R154" i="3"/>
  <c r="P154" i="3"/>
  <c r="BI153" i="3"/>
  <c r="BH153" i="3"/>
  <c r="BG153" i="3"/>
  <c r="BE153" i="3"/>
  <c r="T153" i="3"/>
  <c r="R153" i="3"/>
  <c r="P153" i="3"/>
  <c r="BI152" i="3"/>
  <c r="BH152" i="3"/>
  <c r="BG152" i="3"/>
  <c r="BE152" i="3"/>
  <c r="T152" i="3"/>
  <c r="R152" i="3"/>
  <c r="P152" i="3"/>
  <c r="BI151" i="3"/>
  <c r="BH151" i="3"/>
  <c r="BG151" i="3"/>
  <c r="BE151" i="3"/>
  <c r="T151" i="3"/>
  <c r="R151" i="3"/>
  <c r="P151" i="3"/>
  <c r="BI150" i="3"/>
  <c r="BH150" i="3"/>
  <c r="BG150" i="3"/>
  <c r="BE150" i="3"/>
  <c r="T150" i="3"/>
  <c r="R150" i="3"/>
  <c r="P150" i="3"/>
  <c r="BI149" i="3"/>
  <c r="BH149" i="3"/>
  <c r="BG149" i="3"/>
  <c r="BE149" i="3"/>
  <c r="T149" i="3"/>
  <c r="R149" i="3"/>
  <c r="P149" i="3"/>
  <c r="BI148" i="3"/>
  <c r="BH148" i="3"/>
  <c r="BG148" i="3"/>
  <c r="BE148" i="3"/>
  <c r="T148" i="3"/>
  <c r="R148" i="3"/>
  <c r="P148" i="3"/>
  <c r="J142" i="3"/>
  <c r="F142" i="3"/>
  <c r="J141" i="3"/>
  <c r="F141" i="3"/>
  <c r="F139" i="3"/>
  <c r="E137" i="3"/>
  <c r="J92" i="3"/>
  <c r="F92" i="3"/>
  <c r="J91" i="3"/>
  <c r="F91" i="3"/>
  <c r="F89" i="3"/>
  <c r="E87" i="3"/>
  <c r="J12" i="3"/>
  <c r="J139" i="3"/>
  <c r="E7" i="3"/>
  <c r="E135" i="3" s="1"/>
  <c r="J37" i="2"/>
  <c r="J36" i="2"/>
  <c r="AY95" i="1"/>
  <c r="J35" i="2"/>
  <c r="AX95" i="1" s="1"/>
  <c r="BI441" i="2"/>
  <c r="BH441" i="2"/>
  <c r="BG441" i="2"/>
  <c r="BE441" i="2"/>
  <c r="T441" i="2"/>
  <c r="T440" i="2" s="1"/>
  <c r="R441" i="2"/>
  <c r="R440" i="2"/>
  <c r="P441" i="2"/>
  <c r="P440" i="2"/>
  <c r="BI439" i="2"/>
  <c r="BH439" i="2"/>
  <c r="BG439" i="2"/>
  <c r="BE439" i="2"/>
  <c r="T439" i="2"/>
  <c r="R439" i="2"/>
  <c r="P439" i="2"/>
  <c r="BI438" i="2"/>
  <c r="BH438" i="2"/>
  <c r="BG438" i="2"/>
  <c r="BE438" i="2"/>
  <c r="T438" i="2"/>
  <c r="R438" i="2"/>
  <c r="P438" i="2"/>
  <c r="BI437" i="2"/>
  <c r="BH437" i="2"/>
  <c r="BG437" i="2"/>
  <c r="BE437" i="2"/>
  <c r="T437" i="2"/>
  <c r="R437" i="2"/>
  <c r="P437" i="2"/>
  <c r="BI436" i="2"/>
  <c r="BH436" i="2"/>
  <c r="BG436" i="2"/>
  <c r="BE436" i="2"/>
  <c r="T436" i="2"/>
  <c r="R436" i="2"/>
  <c r="P436" i="2"/>
  <c r="BI434" i="2"/>
  <c r="BH434" i="2"/>
  <c r="BG434" i="2"/>
  <c r="BE434" i="2"/>
  <c r="T434" i="2"/>
  <c r="R434" i="2"/>
  <c r="P434" i="2"/>
  <c r="BI433" i="2"/>
  <c r="BH433" i="2"/>
  <c r="BG433" i="2"/>
  <c r="BE433" i="2"/>
  <c r="T433" i="2"/>
  <c r="R433" i="2"/>
  <c r="P433" i="2"/>
  <c r="BI430" i="2"/>
  <c r="BH430" i="2"/>
  <c r="BG430" i="2"/>
  <c r="BE430" i="2"/>
  <c r="T430" i="2"/>
  <c r="R430" i="2"/>
  <c r="P430" i="2"/>
  <c r="BI429" i="2"/>
  <c r="BH429" i="2"/>
  <c r="BG429" i="2"/>
  <c r="BE429" i="2"/>
  <c r="T429" i="2"/>
  <c r="R429" i="2"/>
  <c r="P429" i="2"/>
  <c r="BI427" i="2"/>
  <c r="BH427" i="2"/>
  <c r="BG427" i="2"/>
  <c r="BE427" i="2"/>
  <c r="T427" i="2"/>
  <c r="R427" i="2"/>
  <c r="P427" i="2"/>
  <c r="BI426" i="2"/>
  <c r="BH426" i="2"/>
  <c r="BG426" i="2"/>
  <c r="BE426" i="2"/>
  <c r="T426" i="2"/>
  <c r="R426" i="2"/>
  <c r="P426" i="2"/>
  <c r="BI424" i="2"/>
  <c r="BH424" i="2"/>
  <c r="BG424" i="2"/>
  <c r="BE424" i="2"/>
  <c r="T424" i="2"/>
  <c r="R424" i="2"/>
  <c r="P424" i="2"/>
  <c r="BI423" i="2"/>
  <c r="BH423" i="2"/>
  <c r="BG423" i="2"/>
  <c r="BE423" i="2"/>
  <c r="T423" i="2"/>
  <c r="R423" i="2"/>
  <c r="P423" i="2"/>
  <c r="BI422" i="2"/>
  <c r="BH422" i="2"/>
  <c r="BG422" i="2"/>
  <c r="BE422" i="2"/>
  <c r="T422" i="2"/>
  <c r="R422" i="2"/>
  <c r="P422" i="2"/>
  <c r="BI420" i="2"/>
  <c r="BH420" i="2"/>
  <c r="BG420" i="2"/>
  <c r="BE420" i="2"/>
  <c r="T420" i="2"/>
  <c r="R420" i="2"/>
  <c r="P420" i="2"/>
  <c r="BI418" i="2"/>
  <c r="BH418" i="2"/>
  <c r="BG418" i="2"/>
  <c r="BE418" i="2"/>
  <c r="T418" i="2"/>
  <c r="R418" i="2"/>
  <c r="P418" i="2"/>
  <c r="BI417" i="2"/>
  <c r="BH417" i="2"/>
  <c r="BG417" i="2"/>
  <c r="BE417" i="2"/>
  <c r="T417" i="2"/>
  <c r="R417" i="2"/>
  <c r="P417" i="2"/>
  <c r="BI415" i="2"/>
  <c r="BH415" i="2"/>
  <c r="BG415" i="2"/>
  <c r="BE415" i="2"/>
  <c r="T415" i="2"/>
  <c r="R415" i="2"/>
  <c r="P415" i="2"/>
  <c r="BI414" i="2"/>
  <c r="BH414" i="2"/>
  <c r="BG414" i="2"/>
  <c r="BE414" i="2"/>
  <c r="T414" i="2"/>
  <c r="R414" i="2"/>
  <c r="P414" i="2"/>
  <c r="BI413" i="2"/>
  <c r="BH413" i="2"/>
  <c r="BG413" i="2"/>
  <c r="BE413" i="2"/>
  <c r="T413" i="2"/>
  <c r="R413" i="2"/>
  <c r="P413" i="2"/>
  <c r="BI412" i="2"/>
  <c r="BH412" i="2"/>
  <c r="BG412" i="2"/>
  <c r="BE412" i="2"/>
  <c r="T412" i="2"/>
  <c r="R412" i="2"/>
  <c r="P412" i="2"/>
  <c r="BI411" i="2"/>
  <c r="BH411" i="2"/>
  <c r="BG411" i="2"/>
  <c r="BE411" i="2"/>
  <c r="T411" i="2"/>
  <c r="R411" i="2"/>
  <c r="P411" i="2"/>
  <c r="BI409" i="2"/>
  <c r="BH409" i="2"/>
  <c r="BG409" i="2"/>
  <c r="BE409" i="2"/>
  <c r="T409" i="2"/>
  <c r="R409" i="2"/>
  <c r="P409" i="2"/>
  <c r="BI407" i="2"/>
  <c r="BH407" i="2"/>
  <c r="BG407" i="2"/>
  <c r="BE407" i="2"/>
  <c r="T407" i="2"/>
  <c r="R407" i="2"/>
  <c r="P407" i="2"/>
  <c r="BI406" i="2"/>
  <c r="BH406" i="2"/>
  <c r="BG406" i="2"/>
  <c r="BE406" i="2"/>
  <c r="T406" i="2"/>
  <c r="R406" i="2"/>
  <c r="P406" i="2"/>
  <c r="BI405" i="2"/>
  <c r="BH405" i="2"/>
  <c r="BG405" i="2"/>
  <c r="BE405" i="2"/>
  <c r="T405" i="2"/>
  <c r="R405" i="2"/>
  <c r="P405" i="2"/>
  <c r="BI404" i="2"/>
  <c r="BH404" i="2"/>
  <c r="BG404" i="2"/>
  <c r="BE404" i="2"/>
  <c r="T404" i="2"/>
  <c r="R404" i="2"/>
  <c r="P404" i="2"/>
  <c r="BI402" i="2"/>
  <c r="BH402" i="2"/>
  <c r="BG402" i="2"/>
  <c r="BE402" i="2"/>
  <c r="T402" i="2"/>
  <c r="R402" i="2"/>
  <c r="P402" i="2"/>
  <c r="BI401" i="2"/>
  <c r="BH401" i="2"/>
  <c r="BG401" i="2"/>
  <c r="BE401" i="2"/>
  <c r="T401" i="2"/>
  <c r="R401" i="2"/>
  <c r="P401" i="2"/>
  <c r="BI400" i="2"/>
  <c r="BH400" i="2"/>
  <c r="BG400" i="2"/>
  <c r="BE400" i="2"/>
  <c r="T400" i="2"/>
  <c r="R400" i="2"/>
  <c r="P400" i="2"/>
  <c r="BI398" i="2"/>
  <c r="BH398" i="2"/>
  <c r="BG398" i="2"/>
  <c r="BE398" i="2"/>
  <c r="T398" i="2"/>
  <c r="R398" i="2"/>
  <c r="P398" i="2"/>
  <c r="BI397" i="2"/>
  <c r="BH397" i="2"/>
  <c r="BG397" i="2"/>
  <c r="BE397" i="2"/>
  <c r="T397" i="2"/>
  <c r="R397" i="2"/>
  <c r="P397" i="2"/>
  <c r="BI396" i="2"/>
  <c r="BH396" i="2"/>
  <c r="BG396" i="2"/>
  <c r="BE396" i="2"/>
  <c r="T396" i="2"/>
  <c r="R396" i="2"/>
  <c r="P396" i="2"/>
  <c r="BI394" i="2"/>
  <c r="BH394" i="2"/>
  <c r="BG394" i="2"/>
  <c r="BE394" i="2"/>
  <c r="T394" i="2"/>
  <c r="R394" i="2"/>
  <c r="P394" i="2"/>
  <c r="BI393" i="2"/>
  <c r="BH393" i="2"/>
  <c r="BG393" i="2"/>
  <c r="BE393" i="2"/>
  <c r="T393" i="2"/>
  <c r="R393" i="2"/>
  <c r="P393" i="2"/>
  <c r="BI392" i="2"/>
  <c r="BH392" i="2"/>
  <c r="BG392" i="2"/>
  <c r="BE392" i="2"/>
  <c r="T392" i="2"/>
  <c r="R392" i="2"/>
  <c r="P392" i="2"/>
  <c r="BI391" i="2"/>
  <c r="BH391" i="2"/>
  <c r="BG391" i="2"/>
  <c r="BE391" i="2"/>
  <c r="T391" i="2"/>
  <c r="R391" i="2"/>
  <c r="P391" i="2"/>
  <c r="BI390" i="2"/>
  <c r="BH390" i="2"/>
  <c r="BG390" i="2"/>
  <c r="BE390" i="2"/>
  <c r="T390" i="2"/>
  <c r="R390" i="2"/>
  <c r="P390" i="2"/>
  <c r="BI389" i="2"/>
  <c r="BH389" i="2"/>
  <c r="BG389" i="2"/>
  <c r="BE389" i="2"/>
  <c r="T389" i="2"/>
  <c r="R389" i="2"/>
  <c r="P389" i="2"/>
  <c r="BI388" i="2"/>
  <c r="BH388" i="2"/>
  <c r="BG388" i="2"/>
  <c r="BE388" i="2"/>
  <c r="T388" i="2"/>
  <c r="R388" i="2"/>
  <c r="P388" i="2"/>
  <c r="BI387" i="2"/>
  <c r="BH387" i="2"/>
  <c r="BG387" i="2"/>
  <c r="BE387" i="2"/>
  <c r="T387" i="2"/>
  <c r="R387" i="2"/>
  <c r="P387" i="2"/>
  <c r="BI386" i="2"/>
  <c r="BH386" i="2"/>
  <c r="BG386" i="2"/>
  <c r="BE386" i="2"/>
  <c r="T386" i="2"/>
  <c r="R386" i="2"/>
  <c r="P386" i="2"/>
  <c r="BI385" i="2"/>
  <c r="BH385" i="2"/>
  <c r="BG385" i="2"/>
  <c r="BE385" i="2"/>
  <c r="T385" i="2"/>
  <c r="R385" i="2"/>
  <c r="P385" i="2"/>
  <c r="BI384" i="2"/>
  <c r="BH384" i="2"/>
  <c r="BG384" i="2"/>
  <c r="BE384" i="2"/>
  <c r="T384" i="2"/>
  <c r="R384" i="2"/>
  <c r="P384" i="2"/>
  <c r="BI382" i="2"/>
  <c r="BH382" i="2"/>
  <c r="BG382" i="2"/>
  <c r="BE382" i="2"/>
  <c r="T382" i="2"/>
  <c r="R382" i="2"/>
  <c r="P382" i="2"/>
  <c r="BI381" i="2"/>
  <c r="BH381" i="2"/>
  <c r="BG381" i="2"/>
  <c r="BE381" i="2"/>
  <c r="T381" i="2"/>
  <c r="R381" i="2"/>
  <c r="P381" i="2"/>
  <c r="BI379" i="2"/>
  <c r="BH379" i="2"/>
  <c r="BG379" i="2"/>
  <c r="BE379" i="2"/>
  <c r="T379" i="2"/>
  <c r="R379" i="2"/>
  <c r="P379" i="2"/>
  <c r="BI378" i="2"/>
  <c r="BH378" i="2"/>
  <c r="BG378" i="2"/>
  <c r="BE378" i="2"/>
  <c r="T378" i="2"/>
  <c r="R378" i="2"/>
  <c r="P378" i="2"/>
  <c r="BI377" i="2"/>
  <c r="BH377" i="2"/>
  <c r="BG377" i="2"/>
  <c r="BE377" i="2"/>
  <c r="T377" i="2"/>
  <c r="R377" i="2"/>
  <c r="P377" i="2"/>
  <c r="BI376" i="2"/>
  <c r="BH376" i="2"/>
  <c r="BG376" i="2"/>
  <c r="BE376" i="2"/>
  <c r="T376" i="2"/>
  <c r="R376" i="2"/>
  <c r="P376" i="2"/>
  <c r="BI375" i="2"/>
  <c r="BH375" i="2"/>
  <c r="BG375" i="2"/>
  <c r="BE375" i="2"/>
  <c r="T375" i="2"/>
  <c r="R375" i="2"/>
  <c r="P375" i="2"/>
  <c r="BI374" i="2"/>
  <c r="BH374" i="2"/>
  <c r="BG374" i="2"/>
  <c r="BE374" i="2"/>
  <c r="T374" i="2"/>
  <c r="R374" i="2"/>
  <c r="P374" i="2"/>
  <c r="BI373" i="2"/>
  <c r="BH373" i="2"/>
  <c r="BG373" i="2"/>
  <c r="BE373" i="2"/>
  <c r="T373" i="2"/>
  <c r="R373" i="2"/>
  <c r="P373" i="2"/>
  <c r="BI372" i="2"/>
  <c r="BH372" i="2"/>
  <c r="BG372" i="2"/>
  <c r="BE372" i="2"/>
  <c r="T372" i="2"/>
  <c r="R372" i="2"/>
  <c r="P372" i="2"/>
  <c r="BI371" i="2"/>
  <c r="BH371" i="2"/>
  <c r="BG371" i="2"/>
  <c r="BE371" i="2"/>
  <c r="T371" i="2"/>
  <c r="R371" i="2"/>
  <c r="P371" i="2"/>
  <c r="BI369" i="2"/>
  <c r="BH369" i="2"/>
  <c r="BG369" i="2"/>
  <c r="BE369" i="2"/>
  <c r="T369" i="2"/>
  <c r="R369" i="2"/>
  <c r="P369" i="2"/>
  <c r="BI368" i="2"/>
  <c r="BH368" i="2"/>
  <c r="BG368" i="2"/>
  <c r="BE368" i="2"/>
  <c r="T368" i="2"/>
  <c r="R368" i="2"/>
  <c r="P368" i="2"/>
  <c r="BI367" i="2"/>
  <c r="BH367" i="2"/>
  <c r="BG367" i="2"/>
  <c r="BE367" i="2"/>
  <c r="T367" i="2"/>
  <c r="R367" i="2"/>
  <c r="P367" i="2"/>
  <c r="BI366" i="2"/>
  <c r="BH366" i="2"/>
  <c r="BG366" i="2"/>
  <c r="BE366" i="2"/>
  <c r="T366" i="2"/>
  <c r="R366" i="2"/>
  <c r="P366" i="2"/>
  <c r="BI365" i="2"/>
  <c r="BH365" i="2"/>
  <c r="BG365" i="2"/>
  <c r="BE365" i="2"/>
  <c r="T365" i="2"/>
  <c r="R365" i="2"/>
  <c r="P365" i="2"/>
  <c r="BI364" i="2"/>
  <c r="BH364" i="2"/>
  <c r="BG364" i="2"/>
  <c r="BE364" i="2"/>
  <c r="T364" i="2"/>
  <c r="R364" i="2"/>
  <c r="P364" i="2"/>
  <c r="BI363" i="2"/>
  <c r="BH363" i="2"/>
  <c r="BG363" i="2"/>
  <c r="BE363" i="2"/>
  <c r="T363" i="2"/>
  <c r="R363" i="2"/>
  <c r="P363" i="2"/>
  <c r="BI362" i="2"/>
  <c r="BH362" i="2"/>
  <c r="BG362" i="2"/>
  <c r="BE362" i="2"/>
  <c r="T362" i="2"/>
  <c r="R362" i="2"/>
  <c r="P362" i="2"/>
  <c r="BI361" i="2"/>
  <c r="BH361" i="2"/>
  <c r="BG361" i="2"/>
  <c r="BE361" i="2"/>
  <c r="T361" i="2"/>
  <c r="R361" i="2"/>
  <c r="P361" i="2"/>
  <c r="BI360" i="2"/>
  <c r="BH360" i="2"/>
  <c r="BG360" i="2"/>
  <c r="BE360" i="2"/>
  <c r="T360" i="2"/>
  <c r="R360" i="2"/>
  <c r="P360" i="2"/>
  <c r="BI359" i="2"/>
  <c r="BH359" i="2"/>
  <c r="BG359" i="2"/>
  <c r="BE359" i="2"/>
  <c r="T359" i="2"/>
  <c r="R359" i="2"/>
  <c r="P359" i="2"/>
  <c r="BI358" i="2"/>
  <c r="BH358" i="2"/>
  <c r="BG358" i="2"/>
  <c r="BE358" i="2"/>
  <c r="T358" i="2"/>
  <c r="R358" i="2"/>
  <c r="P358" i="2"/>
  <c r="BI357" i="2"/>
  <c r="BH357" i="2"/>
  <c r="BG357" i="2"/>
  <c r="BE357" i="2"/>
  <c r="T357" i="2"/>
  <c r="R357" i="2"/>
  <c r="P357" i="2"/>
  <c r="BI355" i="2"/>
  <c r="BH355" i="2"/>
  <c r="BG355" i="2"/>
  <c r="BE355" i="2"/>
  <c r="T355" i="2"/>
  <c r="R355" i="2"/>
  <c r="P355" i="2"/>
  <c r="BI354" i="2"/>
  <c r="BH354" i="2"/>
  <c r="BG354" i="2"/>
  <c r="BE354" i="2"/>
  <c r="T354" i="2"/>
  <c r="R354" i="2"/>
  <c r="P354" i="2"/>
  <c r="BI353" i="2"/>
  <c r="BH353" i="2"/>
  <c r="BG353" i="2"/>
  <c r="BE353" i="2"/>
  <c r="T353" i="2"/>
  <c r="R353" i="2"/>
  <c r="P353" i="2"/>
  <c r="BI352" i="2"/>
  <c r="BH352" i="2"/>
  <c r="BG352" i="2"/>
  <c r="BE352" i="2"/>
  <c r="T352" i="2"/>
  <c r="R352" i="2"/>
  <c r="P352" i="2"/>
  <c r="BI351" i="2"/>
  <c r="BH351" i="2"/>
  <c r="BG351" i="2"/>
  <c r="BE351" i="2"/>
  <c r="T351" i="2"/>
  <c r="R351" i="2"/>
  <c r="P351" i="2"/>
  <c r="BI349" i="2"/>
  <c r="BH349" i="2"/>
  <c r="BG349" i="2"/>
  <c r="BE349" i="2"/>
  <c r="T349" i="2"/>
  <c r="R349" i="2"/>
  <c r="P349" i="2"/>
  <c r="BI348" i="2"/>
  <c r="BH348" i="2"/>
  <c r="BG348" i="2"/>
  <c r="BE348" i="2"/>
  <c r="T348" i="2"/>
  <c r="R348" i="2"/>
  <c r="P348" i="2"/>
  <c r="BI347" i="2"/>
  <c r="BH347" i="2"/>
  <c r="BG347" i="2"/>
  <c r="BE347" i="2"/>
  <c r="T347" i="2"/>
  <c r="R347" i="2"/>
  <c r="P347" i="2"/>
  <c r="BI346" i="2"/>
  <c r="BH346" i="2"/>
  <c r="BG346" i="2"/>
  <c r="BE346" i="2"/>
  <c r="T346" i="2"/>
  <c r="R346" i="2"/>
  <c r="P346" i="2"/>
  <c r="BI345" i="2"/>
  <c r="BH345" i="2"/>
  <c r="BG345" i="2"/>
  <c r="BE345" i="2"/>
  <c r="T345" i="2"/>
  <c r="R345" i="2"/>
  <c r="P345" i="2"/>
  <c r="BI344" i="2"/>
  <c r="BH344" i="2"/>
  <c r="BG344" i="2"/>
  <c r="BE344" i="2"/>
  <c r="T344" i="2"/>
  <c r="R344" i="2"/>
  <c r="P344" i="2"/>
  <c r="BI343" i="2"/>
  <c r="BH343" i="2"/>
  <c r="BG343" i="2"/>
  <c r="BE343" i="2"/>
  <c r="T343" i="2"/>
  <c r="R343" i="2"/>
  <c r="P343" i="2"/>
  <c r="BI342" i="2"/>
  <c r="BH342" i="2"/>
  <c r="BG342" i="2"/>
  <c r="BE342" i="2"/>
  <c r="T342" i="2"/>
  <c r="R342" i="2"/>
  <c r="P342" i="2"/>
  <c r="BI341" i="2"/>
  <c r="BH341" i="2"/>
  <c r="BG341" i="2"/>
  <c r="BE341" i="2"/>
  <c r="T341" i="2"/>
  <c r="R341" i="2"/>
  <c r="P341" i="2"/>
  <c r="BI340" i="2"/>
  <c r="BH340" i="2"/>
  <c r="BG340" i="2"/>
  <c r="BE340" i="2"/>
  <c r="T340" i="2"/>
  <c r="R340" i="2"/>
  <c r="P340" i="2"/>
  <c r="BI339" i="2"/>
  <c r="BH339" i="2"/>
  <c r="BG339" i="2"/>
  <c r="BE339" i="2"/>
  <c r="T339" i="2"/>
  <c r="R339" i="2"/>
  <c r="P339" i="2"/>
  <c r="BI338" i="2"/>
  <c r="BH338" i="2"/>
  <c r="BG338" i="2"/>
  <c r="BE338" i="2"/>
  <c r="T338" i="2"/>
  <c r="R338" i="2"/>
  <c r="P338" i="2"/>
  <c r="BI337" i="2"/>
  <c r="BH337" i="2"/>
  <c r="BG337" i="2"/>
  <c r="BE337" i="2"/>
  <c r="T337" i="2"/>
  <c r="R337" i="2"/>
  <c r="P337" i="2"/>
  <c r="BI336" i="2"/>
  <c r="BH336" i="2"/>
  <c r="BG336" i="2"/>
  <c r="BE336" i="2"/>
  <c r="T336" i="2"/>
  <c r="R336" i="2"/>
  <c r="P336" i="2"/>
  <c r="BI335" i="2"/>
  <c r="BH335" i="2"/>
  <c r="BG335" i="2"/>
  <c r="BE335" i="2"/>
  <c r="T335" i="2"/>
  <c r="R335" i="2"/>
  <c r="P335" i="2"/>
  <c r="BI334" i="2"/>
  <c r="BH334" i="2"/>
  <c r="BG334" i="2"/>
  <c r="BE334" i="2"/>
  <c r="T334" i="2"/>
  <c r="R334" i="2"/>
  <c r="P334" i="2"/>
  <c r="BI332" i="2"/>
  <c r="BH332" i="2"/>
  <c r="BG332" i="2"/>
  <c r="BE332" i="2"/>
  <c r="T332" i="2"/>
  <c r="R332" i="2"/>
  <c r="P332" i="2"/>
  <c r="BI331" i="2"/>
  <c r="BH331" i="2"/>
  <c r="BG331" i="2"/>
  <c r="BE331" i="2"/>
  <c r="T331" i="2"/>
  <c r="R331" i="2"/>
  <c r="P331" i="2"/>
  <c r="BI329" i="2"/>
  <c r="BH329" i="2"/>
  <c r="BG329" i="2"/>
  <c r="BE329" i="2"/>
  <c r="T329" i="2"/>
  <c r="T328" i="2"/>
  <c r="R329" i="2"/>
  <c r="R328" i="2" s="1"/>
  <c r="P329" i="2"/>
  <c r="P328" i="2"/>
  <c r="BI327" i="2"/>
  <c r="BH327" i="2"/>
  <c r="BG327" i="2"/>
  <c r="BE327" i="2"/>
  <c r="T327" i="2"/>
  <c r="R327" i="2"/>
  <c r="P327" i="2"/>
  <c r="BI326" i="2"/>
  <c r="BH326" i="2"/>
  <c r="BG326" i="2"/>
  <c r="BE326" i="2"/>
  <c r="T326" i="2"/>
  <c r="R326" i="2"/>
  <c r="P326" i="2"/>
  <c r="BI324" i="2"/>
  <c r="BH324" i="2"/>
  <c r="BG324" i="2"/>
  <c r="BE324" i="2"/>
  <c r="T324" i="2"/>
  <c r="R324" i="2"/>
  <c r="P324" i="2"/>
  <c r="BI323" i="2"/>
  <c r="BH323" i="2"/>
  <c r="BG323" i="2"/>
  <c r="BE323" i="2"/>
  <c r="T323" i="2"/>
  <c r="R323" i="2"/>
  <c r="P323" i="2"/>
  <c r="BI322" i="2"/>
  <c r="BH322" i="2"/>
  <c r="BG322" i="2"/>
  <c r="BE322" i="2"/>
  <c r="T322" i="2"/>
  <c r="R322" i="2"/>
  <c r="P322" i="2"/>
  <c r="BI321" i="2"/>
  <c r="BH321" i="2"/>
  <c r="BG321" i="2"/>
  <c r="BE321" i="2"/>
  <c r="T321" i="2"/>
  <c r="R321" i="2"/>
  <c r="P321" i="2"/>
  <c r="BI320" i="2"/>
  <c r="BH320" i="2"/>
  <c r="BG320" i="2"/>
  <c r="BE320" i="2"/>
  <c r="T320" i="2"/>
  <c r="R320" i="2"/>
  <c r="P320" i="2"/>
  <c r="BI319" i="2"/>
  <c r="BH319" i="2"/>
  <c r="BG319" i="2"/>
  <c r="BE319" i="2"/>
  <c r="T319" i="2"/>
  <c r="R319" i="2"/>
  <c r="P319" i="2"/>
  <c r="BI318" i="2"/>
  <c r="BH318" i="2"/>
  <c r="BG318" i="2"/>
  <c r="BE318" i="2"/>
  <c r="T318" i="2"/>
  <c r="R318" i="2"/>
  <c r="P318" i="2"/>
  <c r="BI316" i="2"/>
  <c r="BH316" i="2"/>
  <c r="BG316" i="2"/>
  <c r="BE316" i="2"/>
  <c r="T316" i="2"/>
  <c r="R316" i="2"/>
  <c r="P316" i="2"/>
  <c r="BI314" i="2"/>
  <c r="BH314" i="2"/>
  <c r="BG314" i="2"/>
  <c r="BE314" i="2"/>
  <c r="T314" i="2"/>
  <c r="R314" i="2"/>
  <c r="P314" i="2"/>
  <c r="BI313" i="2"/>
  <c r="BH313" i="2"/>
  <c r="BG313" i="2"/>
  <c r="BE313" i="2"/>
  <c r="T313" i="2"/>
  <c r="R313" i="2"/>
  <c r="P313" i="2"/>
  <c r="BI311" i="2"/>
  <c r="BH311" i="2"/>
  <c r="BG311" i="2"/>
  <c r="BE311" i="2"/>
  <c r="T311" i="2"/>
  <c r="R311" i="2"/>
  <c r="P311" i="2"/>
  <c r="BI310" i="2"/>
  <c r="BH310" i="2"/>
  <c r="BG310" i="2"/>
  <c r="BE310" i="2"/>
  <c r="T310" i="2"/>
  <c r="R310" i="2"/>
  <c r="P310" i="2"/>
  <c r="BI308" i="2"/>
  <c r="BH308" i="2"/>
  <c r="BG308" i="2"/>
  <c r="BE308" i="2"/>
  <c r="T308" i="2"/>
  <c r="R308" i="2"/>
  <c r="P308" i="2"/>
  <c r="BI306" i="2"/>
  <c r="BH306" i="2"/>
  <c r="BG306" i="2"/>
  <c r="BE306" i="2"/>
  <c r="T306" i="2"/>
  <c r="R306" i="2"/>
  <c r="P306" i="2"/>
  <c r="BI304" i="2"/>
  <c r="BH304" i="2"/>
  <c r="BG304" i="2"/>
  <c r="BE304" i="2"/>
  <c r="T304" i="2"/>
  <c r="R304" i="2"/>
  <c r="P304" i="2"/>
  <c r="BI303" i="2"/>
  <c r="BH303" i="2"/>
  <c r="BG303" i="2"/>
  <c r="BE303" i="2"/>
  <c r="T303" i="2"/>
  <c r="R303" i="2"/>
  <c r="P303" i="2"/>
  <c r="BI301" i="2"/>
  <c r="BH301" i="2"/>
  <c r="BG301" i="2"/>
  <c r="BE301" i="2"/>
  <c r="T301" i="2"/>
  <c r="R301" i="2"/>
  <c r="P301" i="2"/>
  <c r="BI299" i="2"/>
  <c r="BH299" i="2"/>
  <c r="BG299" i="2"/>
  <c r="BE299" i="2"/>
  <c r="T299" i="2"/>
  <c r="R299" i="2"/>
  <c r="P299" i="2"/>
  <c r="BI298" i="2"/>
  <c r="BH298" i="2"/>
  <c r="BG298" i="2"/>
  <c r="BE298" i="2"/>
  <c r="T298" i="2"/>
  <c r="R298" i="2"/>
  <c r="P298" i="2"/>
  <c r="BI296" i="2"/>
  <c r="BH296" i="2"/>
  <c r="BG296" i="2"/>
  <c r="BE296" i="2"/>
  <c r="T296" i="2"/>
  <c r="R296" i="2"/>
  <c r="P296" i="2"/>
  <c r="BI295" i="2"/>
  <c r="BH295" i="2"/>
  <c r="BG295" i="2"/>
  <c r="BE295" i="2"/>
  <c r="T295" i="2"/>
  <c r="R295" i="2"/>
  <c r="P295" i="2"/>
  <c r="BI293" i="2"/>
  <c r="BH293" i="2"/>
  <c r="BG293" i="2"/>
  <c r="BE293" i="2"/>
  <c r="T293" i="2"/>
  <c r="R293" i="2"/>
  <c r="P293" i="2"/>
  <c r="BI291" i="2"/>
  <c r="BH291" i="2"/>
  <c r="BG291" i="2"/>
  <c r="BE291" i="2"/>
  <c r="T291" i="2"/>
  <c r="R291" i="2"/>
  <c r="P291" i="2"/>
  <c r="BI290" i="2"/>
  <c r="BH290" i="2"/>
  <c r="BG290" i="2"/>
  <c r="BE290" i="2"/>
  <c r="T290" i="2"/>
  <c r="R290" i="2"/>
  <c r="P290" i="2"/>
  <c r="BI288" i="2"/>
  <c r="BH288" i="2"/>
  <c r="BG288" i="2"/>
  <c r="BE288" i="2"/>
  <c r="T288" i="2"/>
  <c r="R288" i="2"/>
  <c r="P288" i="2"/>
  <c r="BI286" i="2"/>
  <c r="BH286" i="2"/>
  <c r="BG286" i="2"/>
  <c r="BE286" i="2"/>
  <c r="T286" i="2"/>
  <c r="R286" i="2"/>
  <c r="P286" i="2"/>
  <c r="BI285" i="2"/>
  <c r="BH285" i="2"/>
  <c r="BG285" i="2"/>
  <c r="BE285" i="2"/>
  <c r="T285" i="2"/>
  <c r="R285" i="2"/>
  <c r="P285" i="2"/>
  <c r="BI283" i="2"/>
  <c r="BH283" i="2"/>
  <c r="BG283" i="2"/>
  <c r="BE283" i="2"/>
  <c r="T283" i="2"/>
  <c r="R283" i="2"/>
  <c r="P283" i="2"/>
  <c r="BI281" i="2"/>
  <c r="BH281" i="2"/>
  <c r="BG281" i="2"/>
  <c r="BE281" i="2"/>
  <c r="T281" i="2"/>
  <c r="R281" i="2"/>
  <c r="P281" i="2"/>
  <c r="BI280" i="2"/>
  <c r="BH280" i="2"/>
  <c r="BG280" i="2"/>
  <c r="BE280" i="2"/>
  <c r="T280" i="2"/>
  <c r="R280" i="2"/>
  <c r="P280" i="2"/>
  <c r="BI278" i="2"/>
  <c r="BH278" i="2"/>
  <c r="BG278" i="2"/>
  <c r="BE278" i="2"/>
  <c r="T278" i="2"/>
  <c r="R278" i="2"/>
  <c r="P278" i="2"/>
  <c r="BI277" i="2"/>
  <c r="BH277" i="2"/>
  <c r="BG277" i="2"/>
  <c r="BE277" i="2"/>
  <c r="T277" i="2"/>
  <c r="R277" i="2"/>
  <c r="P277" i="2"/>
  <c r="BI275" i="2"/>
  <c r="BH275" i="2"/>
  <c r="BG275" i="2"/>
  <c r="BE275" i="2"/>
  <c r="T275" i="2"/>
  <c r="R275" i="2"/>
  <c r="P275" i="2"/>
  <c r="BI274" i="2"/>
  <c r="BH274" i="2"/>
  <c r="BG274" i="2"/>
  <c r="BE274" i="2"/>
  <c r="T274" i="2"/>
  <c r="R274" i="2"/>
  <c r="P274" i="2"/>
  <c r="BI272" i="2"/>
  <c r="BH272" i="2"/>
  <c r="BG272" i="2"/>
  <c r="BE272" i="2"/>
  <c r="T272" i="2"/>
  <c r="R272" i="2"/>
  <c r="P272" i="2"/>
  <c r="BI271" i="2"/>
  <c r="BH271" i="2"/>
  <c r="BG271" i="2"/>
  <c r="BE271" i="2"/>
  <c r="T271" i="2"/>
  <c r="R271" i="2"/>
  <c r="P271" i="2"/>
  <c r="BI269" i="2"/>
  <c r="BH269" i="2"/>
  <c r="BG269" i="2"/>
  <c r="BE269" i="2"/>
  <c r="T269" i="2"/>
  <c r="R269" i="2"/>
  <c r="P269" i="2"/>
  <c r="BI268" i="2"/>
  <c r="BH268" i="2"/>
  <c r="BG268" i="2"/>
  <c r="BE268" i="2"/>
  <c r="T268" i="2"/>
  <c r="R268" i="2"/>
  <c r="P268" i="2"/>
  <c r="BI266" i="2"/>
  <c r="BH266" i="2"/>
  <c r="BG266" i="2"/>
  <c r="BE266" i="2"/>
  <c r="T266" i="2"/>
  <c r="R266" i="2"/>
  <c r="P266" i="2"/>
  <c r="BI265" i="2"/>
  <c r="BH265" i="2"/>
  <c r="BG265" i="2"/>
  <c r="BE265" i="2"/>
  <c r="T265" i="2"/>
  <c r="R265" i="2"/>
  <c r="P265" i="2"/>
  <c r="BI263" i="2"/>
  <c r="BH263" i="2"/>
  <c r="BG263" i="2"/>
  <c r="BE263" i="2"/>
  <c r="T263" i="2"/>
  <c r="R263" i="2"/>
  <c r="P263" i="2"/>
  <c r="BI262" i="2"/>
  <c r="BH262" i="2"/>
  <c r="BG262" i="2"/>
  <c r="BE262" i="2"/>
  <c r="T262" i="2"/>
  <c r="R262" i="2"/>
  <c r="P262" i="2"/>
  <c r="BI261" i="2"/>
  <c r="BH261" i="2"/>
  <c r="BG261" i="2"/>
  <c r="BE261" i="2"/>
  <c r="T261" i="2"/>
  <c r="R261" i="2"/>
  <c r="P261" i="2"/>
  <c r="BI259" i="2"/>
  <c r="BH259" i="2"/>
  <c r="BG259" i="2"/>
  <c r="BE259" i="2"/>
  <c r="T259" i="2"/>
  <c r="R259" i="2"/>
  <c r="P259" i="2"/>
  <c r="BI258" i="2"/>
  <c r="BH258" i="2"/>
  <c r="BG258" i="2"/>
  <c r="BE258" i="2"/>
  <c r="T258" i="2"/>
  <c r="R258" i="2"/>
  <c r="P258" i="2"/>
  <c r="BI256" i="2"/>
  <c r="BH256" i="2"/>
  <c r="BG256" i="2"/>
  <c r="BE256" i="2"/>
  <c r="T256" i="2"/>
  <c r="R256" i="2"/>
  <c r="P256" i="2"/>
  <c r="BI255" i="2"/>
  <c r="BH255" i="2"/>
  <c r="BG255" i="2"/>
  <c r="BE255" i="2"/>
  <c r="T255" i="2"/>
  <c r="R255" i="2"/>
  <c r="P255" i="2"/>
  <c r="BI253" i="2"/>
  <c r="BH253" i="2"/>
  <c r="BG253" i="2"/>
  <c r="BE253" i="2"/>
  <c r="T253" i="2"/>
  <c r="R253" i="2"/>
  <c r="P253" i="2"/>
  <c r="BI252" i="2"/>
  <c r="BH252" i="2"/>
  <c r="BG252" i="2"/>
  <c r="BE252" i="2"/>
  <c r="T252" i="2"/>
  <c r="R252" i="2"/>
  <c r="P252" i="2"/>
  <c r="BI250" i="2"/>
  <c r="BH250" i="2"/>
  <c r="BG250" i="2"/>
  <c r="BE250" i="2"/>
  <c r="T250" i="2"/>
  <c r="R250" i="2"/>
  <c r="P250" i="2"/>
  <c r="BI249" i="2"/>
  <c r="BH249" i="2"/>
  <c r="BG249" i="2"/>
  <c r="BE249" i="2"/>
  <c r="T249" i="2"/>
  <c r="R249" i="2"/>
  <c r="P249" i="2"/>
  <c r="BI246" i="2"/>
  <c r="BH246" i="2"/>
  <c r="BG246" i="2"/>
  <c r="BE246" i="2"/>
  <c r="T246" i="2"/>
  <c r="T245" i="2"/>
  <c r="R246" i="2"/>
  <c r="R245" i="2" s="1"/>
  <c r="P246" i="2"/>
  <c r="P245" i="2"/>
  <c r="BI243" i="2"/>
  <c r="BH243" i="2"/>
  <c r="BG243" i="2"/>
  <c r="BE243" i="2"/>
  <c r="T243" i="2"/>
  <c r="R243" i="2"/>
  <c r="P243" i="2"/>
  <c r="BI242" i="2"/>
  <c r="BH242" i="2"/>
  <c r="BG242" i="2"/>
  <c r="BE242" i="2"/>
  <c r="T242" i="2"/>
  <c r="R242" i="2"/>
  <c r="P242" i="2"/>
  <c r="BI241" i="2"/>
  <c r="BH241" i="2"/>
  <c r="BG241" i="2"/>
  <c r="BE241" i="2"/>
  <c r="T241" i="2"/>
  <c r="R241" i="2"/>
  <c r="P241" i="2"/>
  <c r="BI240" i="2"/>
  <c r="BH240" i="2"/>
  <c r="BG240" i="2"/>
  <c r="BE240" i="2"/>
  <c r="T240" i="2"/>
  <c r="R240" i="2"/>
  <c r="P240" i="2"/>
  <c r="BI239" i="2"/>
  <c r="BH239" i="2"/>
  <c r="BG239" i="2"/>
  <c r="BE239" i="2"/>
  <c r="T239" i="2"/>
  <c r="R239" i="2"/>
  <c r="P239" i="2"/>
  <c r="BI238" i="2"/>
  <c r="BH238" i="2"/>
  <c r="BG238" i="2"/>
  <c r="BE238" i="2"/>
  <c r="T238" i="2"/>
  <c r="R238" i="2"/>
  <c r="P238" i="2"/>
  <c r="BI237" i="2"/>
  <c r="BH237" i="2"/>
  <c r="BG237" i="2"/>
  <c r="BE237" i="2"/>
  <c r="T237" i="2"/>
  <c r="R237" i="2"/>
  <c r="P237" i="2"/>
  <c r="BI236" i="2"/>
  <c r="BH236" i="2"/>
  <c r="BG236" i="2"/>
  <c r="BE236" i="2"/>
  <c r="T236" i="2"/>
  <c r="R236" i="2"/>
  <c r="P236" i="2"/>
  <c r="BI235" i="2"/>
  <c r="BH235" i="2"/>
  <c r="BG235" i="2"/>
  <c r="BE235" i="2"/>
  <c r="T235" i="2"/>
  <c r="R235" i="2"/>
  <c r="P235" i="2"/>
  <c r="BI234" i="2"/>
  <c r="BH234" i="2"/>
  <c r="BG234" i="2"/>
  <c r="BE234" i="2"/>
  <c r="T234" i="2"/>
  <c r="R234" i="2"/>
  <c r="P234" i="2"/>
  <c r="BI233" i="2"/>
  <c r="BH233" i="2"/>
  <c r="BG233" i="2"/>
  <c r="BE233" i="2"/>
  <c r="T233" i="2"/>
  <c r="R233" i="2"/>
  <c r="P233" i="2"/>
  <c r="BI232" i="2"/>
  <c r="BH232" i="2"/>
  <c r="BG232" i="2"/>
  <c r="BE232" i="2"/>
  <c r="T232" i="2"/>
  <c r="R232" i="2"/>
  <c r="P232" i="2"/>
  <c r="BI231" i="2"/>
  <c r="BH231" i="2"/>
  <c r="BG231" i="2"/>
  <c r="BE231" i="2"/>
  <c r="T231" i="2"/>
  <c r="R231" i="2"/>
  <c r="P231" i="2"/>
  <c r="BI230" i="2"/>
  <c r="BH230" i="2"/>
  <c r="BG230" i="2"/>
  <c r="BE230" i="2"/>
  <c r="T230" i="2"/>
  <c r="R230" i="2"/>
  <c r="P230" i="2"/>
  <c r="BI229" i="2"/>
  <c r="BH229" i="2"/>
  <c r="BG229" i="2"/>
  <c r="BE229" i="2"/>
  <c r="T229" i="2"/>
  <c r="R229" i="2"/>
  <c r="P229" i="2"/>
  <c r="BI228" i="2"/>
  <c r="BH228" i="2"/>
  <c r="BG228" i="2"/>
  <c r="BE228" i="2"/>
  <c r="T228" i="2"/>
  <c r="R228" i="2"/>
  <c r="P228" i="2"/>
  <c r="BI227" i="2"/>
  <c r="BH227" i="2"/>
  <c r="BG227" i="2"/>
  <c r="BE227" i="2"/>
  <c r="T227" i="2"/>
  <c r="R227" i="2"/>
  <c r="P227" i="2"/>
  <c r="BI226" i="2"/>
  <c r="BH226" i="2"/>
  <c r="BG226" i="2"/>
  <c r="BE226" i="2"/>
  <c r="T226" i="2"/>
  <c r="R226" i="2"/>
  <c r="P226" i="2"/>
  <c r="BI225" i="2"/>
  <c r="BH225" i="2"/>
  <c r="BG225" i="2"/>
  <c r="BE225" i="2"/>
  <c r="T225" i="2"/>
  <c r="R225" i="2"/>
  <c r="P225" i="2"/>
  <c r="BI224" i="2"/>
  <c r="BH224" i="2"/>
  <c r="BG224" i="2"/>
  <c r="BE224" i="2"/>
  <c r="T224" i="2"/>
  <c r="R224" i="2"/>
  <c r="P224" i="2"/>
  <c r="BI222" i="2"/>
  <c r="BH222" i="2"/>
  <c r="BG222" i="2"/>
  <c r="BE222" i="2"/>
  <c r="T222" i="2"/>
  <c r="R222" i="2"/>
  <c r="P222" i="2"/>
  <c r="BI221" i="2"/>
  <c r="BH221" i="2"/>
  <c r="BG221" i="2"/>
  <c r="BE221" i="2"/>
  <c r="T221" i="2"/>
  <c r="R221" i="2"/>
  <c r="P221" i="2"/>
  <c r="BI220" i="2"/>
  <c r="BH220" i="2"/>
  <c r="BG220" i="2"/>
  <c r="BE220" i="2"/>
  <c r="T220" i="2"/>
  <c r="R220" i="2"/>
  <c r="P220" i="2"/>
  <c r="BI219" i="2"/>
  <c r="BH219" i="2"/>
  <c r="BG219" i="2"/>
  <c r="BE219" i="2"/>
  <c r="T219" i="2"/>
  <c r="R219" i="2"/>
  <c r="P219" i="2"/>
  <c r="BI218" i="2"/>
  <c r="BH218" i="2"/>
  <c r="BG218" i="2"/>
  <c r="BE218" i="2"/>
  <c r="T218" i="2"/>
  <c r="R218" i="2"/>
  <c r="P218" i="2"/>
  <c r="BI217" i="2"/>
  <c r="BH217" i="2"/>
  <c r="BG217" i="2"/>
  <c r="BE217" i="2"/>
  <c r="T217" i="2"/>
  <c r="R217" i="2"/>
  <c r="P217" i="2"/>
  <c r="BI216" i="2"/>
  <c r="BH216" i="2"/>
  <c r="BG216" i="2"/>
  <c r="BE216" i="2"/>
  <c r="T216" i="2"/>
  <c r="R216" i="2"/>
  <c r="P216" i="2"/>
  <c r="BI214" i="2"/>
  <c r="BH214" i="2"/>
  <c r="BG214" i="2"/>
  <c r="BE214" i="2"/>
  <c r="T214" i="2"/>
  <c r="R214" i="2"/>
  <c r="P214" i="2"/>
  <c r="BI213" i="2"/>
  <c r="BH213" i="2"/>
  <c r="BG213" i="2"/>
  <c r="BE213" i="2"/>
  <c r="T213" i="2"/>
  <c r="R213" i="2"/>
  <c r="P213" i="2"/>
  <c r="BI211" i="2"/>
  <c r="BH211" i="2"/>
  <c r="BG211" i="2"/>
  <c r="BE211" i="2"/>
  <c r="T211" i="2"/>
  <c r="R211" i="2"/>
  <c r="P211" i="2"/>
  <c r="BI210" i="2"/>
  <c r="BH210" i="2"/>
  <c r="BG210" i="2"/>
  <c r="BE210" i="2"/>
  <c r="T210" i="2"/>
  <c r="R210" i="2"/>
  <c r="P210" i="2"/>
  <c r="BI208" i="2"/>
  <c r="BH208" i="2"/>
  <c r="BG208" i="2"/>
  <c r="BE208" i="2"/>
  <c r="T208" i="2"/>
  <c r="R208" i="2"/>
  <c r="P208" i="2"/>
  <c r="BI207" i="2"/>
  <c r="BH207" i="2"/>
  <c r="BG207" i="2"/>
  <c r="BE207" i="2"/>
  <c r="T207" i="2"/>
  <c r="R207" i="2"/>
  <c r="P207" i="2"/>
  <c r="BI206" i="2"/>
  <c r="BH206" i="2"/>
  <c r="BG206" i="2"/>
  <c r="BE206" i="2"/>
  <c r="T206" i="2"/>
  <c r="R206" i="2"/>
  <c r="P206" i="2"/>
  <c r="BI204" i="2"/>
  <c r="BH204" i="2"/>
  <c r="BG204" i="2"/>
  <c r="BE204" i="2"/>
  <c r="T204" i="2"/>
  <c r="R204" i="2"/>
  <c r="P204" i="2"/>
  <c r="BI203" i="2"/>
  <c r="BH203" i="2"/>
  <c r="BG203" i="2"/>
  <c r="BE203" i="2"/>
  <c r="T203" i="2"/>
  <c r="R203" i="2"/>
  <c r="P203" i="2"/>
  <c r="BI202" i="2"/>
  <c r="BH202" i="2"/>
  <c r="BG202" i="2"/>
  <c r="BE202" i="2"/>
  <c r="T202" i="2"/>
  <c r="R202" i="2"/>
  <c r="P202" i="2"/>
  <c r="BI201" i="2"/>
  <c r="BH201" i="2"/>
  <c r="BG201" i="2"/>
  <c r="BE201" i="2"/>
  <c r="T201" i="2"/>
  <c r="R201" i="2"/>
  <c r="P201" i="2"/>
  <c r="BI200" i="2"/>
  <c r="BH200" i="2"/>
  <c r="BG200" i="2"/>
  <c r="BE200" i="2"/>
  <c r="T200" i="2"/>
  <c r="R200" i="2"/>
  <c r="P200" i="2"/>
  <c r="BI199" i="2"/>
  <c r="BH199" i="2"/>
  <c r="BG199" i="2"/>
  <c r="BE199" i="2"/>
  <c r="T199" i="2"/>
  <c r="R199" i="2"/>
  <c r="P199" i="2"/>
  <c r="BI198" i="2"/>
  <c r="BH198" i="2"/>
  <c r="BG198" i="2"/>
  <c r="BE198" i="2"/>
  <c r="T198" i="2"/>
  <c r="R198" i="2"/>
  <c r="P198" i="2"/>
  <c r="BI197" i="2"/>
  <c r="BH197" i="2"/>
  <c r="BG197" i="2"/>
  <c r="BE197" i="2"/>
  <c r="T197" i="2"/>
  <c r="R197" i="2"/>
  <c r="P197" i="2"/>
  <c r="BI195" i="2"/>
  <c r="BH195" i="2"/>
  <c r="BG195" i="2"/>
  <c r="BE195" i="2"/>
  <c r="T195" i="2"/>
  <c r="R195" i="2"/>
  <c r="P195" i="2"/>
  <c r="BI194" i="2"/>
  <c r="BH194" i="2"/>
  <c r="BG194" i="2"/>
  <c r="BE194" i="2"/>
  <c r="T194" i="2"/>
  <c r="R194" i="2"/>
  <c r="P194" i="2"/>
  <c r="BI193" i="2"/>
  <c r="BH193" i="2"/>
  <c r="BG193" i="2"/>
  <c r="BE193" i="2"/>
  <c r="T193" i="2"/>
  <c r="R193" i="2"/>
  <c r="P193" i="2"/>
  <c r="BI192" i="2"/>
  <c r="BH192" i="2"/>
  <c r="BG192" i="2"/>
  <c r="BE192" i="2"/>
  <c r="T192" i="2"/>
  <c r="R192" i="2"/>
  <c r="P192" i="2"/>
  <c r="BI191" i="2"/>
  <c r="BH191" i="2"/>
  <c r="BG191" i="2"/>
  <c r="BE191" i="2"/>
  <c r="T191" i="2"/>
  <c r="R191" i="2"/>
  <c r="P191" i="2"/>
  <c r="BI190" i="2"/>
  <c r="BH190" i="2"/>
  <c r="BG190" i="2"/>
  <c r="BE190" i="2"/>
  <c r="T190" i="2"/>
  <c r="R190" i="2"/>
  <c r="P190" i="2"/>
  <c r="BI189" i="2"/>
  <c r="BH189" i="2"/>
  <c r="BG189" i="2"/>
  <c r="BE189" i="2"/>
  <c r="T189" i="2"/>
  <c r="R189" i="2"/>
  <c r="P189" i="2"/>
  <c r="BI188" i="2"/>
  <c r="BH188" i="2"/>
  <c r="BG188" i="2"/>
  <c r="BE188" i="2"/>
  <c r="T188" i="2"/>
  <c r="R188" i="2"/>
  <c r="P188" i="2"/>
  <c r="BI187" i="2"/>
  <c r="BH187" i="2"/>
  <c r="BG187" i="2"/>
  <c r="BE187" i="2"/>
  <c r="T187" i="2"/>
  <c r="R187" i="2"/>
  <c r="P187" i="2"/>
  <c r="BI186" i="2"/>
  <c r="BH186" i="2"/>
  <c r="BG186" i="2"/>
  <c r="BE186" i="2"/>
  <c r="T186" i="2"/>
  <c r="R186" i="2"/>
  <c r="P186" i="2"/>
  <c r="BI185" i="2"/>
  <c r="BH185" i="2"/>
  <c r="BG185" i="2"/>
  <c r="BE185" i="2"/>
  <c r="T185" i="2"/>
  <c r="R185" i="2"/>
  <c r="P185" i="2"/>
  <c r="BI184" i="2"/>
  <c r="BH184" i="2"/>
  <c r="BG184" i="2"/>
  <c r="BE184" i="2"/>
  <c r="T184" i="2"/>
  <c r="R184" i="2"/>
  <c r="P184" i="2"/>
  <c r="BI183" i="2"/>
  <c r="BH183" i="2"/>
  <c r="BG183" i="2"/>
  <c r="BE183" i="2"/>
  <c r="T183" i="2"/>
  <c r="R183" i="2"/>
  <c r="P183" i="2"/>
  <c r="BI182" i="2"/>
  <c r="BH182" i="2"/>
  <c r="BG182" i="2"/>
  <c r="BE182" i="2"/>
  <c r="T182" i="2"/>
  <c r="R182" i="2"/>
  <c r="P182" i="2"/>
  <c r="BI181" i="2"/>
  <c r="BH181" i="2"/>
  <c r="BG181" i="2"/>
  <c r="BE181" i="2"/>
  <c r="T181" i="2"/>
  <c r="R181" i="2"/>
  <c r="P181" i="2"/>
  <c r="BI179" i="2"/>
  <c r="BH179" i="2"/>
  <c r="BG179" i="2"/>
  <c r="BE179" i="2"/>
  <c r="T179" i="2"/>
  <c r="R179" i="2"/>
  <c r="P179" i="2"/>
  <c r="BI178" i="2"/>
  <c r="BH178" i="2"/>
  <c r="BG178" i="2"/>
  <c r="BE178" i="2"/>
  <c r="T178" i="2"/>
  <c r="R178" i="2"/>
  <c r="P178" i="2"/>
  <c r="BI177" i="2"/>
  <c r="BH177" i="2"/>
  <c r="BG177" i="2"/>
  <c r="BE177" i="2"/>
  <c r="T177" i="2"/>
  <c r="R177" i="2"/>
  <c r="P177" i="2"/>
  <c r="BI176" i="2"/>
  <c r="BH176" i="2"/>
  <c r="BG176" i="2"/>
  <c r="BE176" i="2"/>
  <c r="T176" i="2"/>
  <c r="R176" i="2"/>
  <c r="P176" i="2"/>
  <c r="BI175" i="2"/>
  <c r="BH175" i="2"/>
  <c r="BG175" i="2"/>
  <c r="BE175" i="2"/>
  <c r="T175" i="2"/>
  <c r="R175" i="2"/>
  <c r="P175" i="2"/>
  <c r="BI173" i="2"/>
  <c r="BH173" i="2"/>
  <c r="BG173" i="2"/>
  <c r="BE173" i="2"/>
  <c r="T173" i="2"/>
  <c r="R173" i="2"/>
  <c r="P173" i="2"/>
  <c r="BI172" i="2"/>
  <c r="BH172" i="2"/>
  <c r="BG172" i="2"/>
  <c r="BE172" i="2"/>
  <c r="T172" i="2"/>
  <c r="R172" i="2"/>
  <c r="P172" i="2"/>
  <c r="BI171" i="2"/>
  <c r="BH171" i="2"/>
  <c r="BG171" i="2"/>
  <c r="BE171" i="2"/>
  <c r="T171" i="2"/>
  <c r="R171" i="2"/>
  <c r="P171" i="2"/>
  <c r="BI170" i="2"/>
  <c r="BH170" i="2"/>
  <c r="BG170" i="2"/>
  <c r="BE170" i="2"/>
  <c r="T170" i="2"/>
  <c r="R170" i="2"/>
  <c r="P170" i="2"/>
  <c r="BI169" i="2"/>
  <c r="BH169" i="2"/>
  <c r="BG169" i="2"/>
  <c r="BE169" i="2"/>
  <c r="T169" i="2"/>
  <c r="R169" i="2"/>
  <c r="P169" i="2"/>
  <c r="BI168" i="2"/>
  <c r="BH168" i="2"/>
  <c r="BG168" i="2"/>
  <c r="BE168" i="2"/>
  <c r="T168" i="2"/>
  <c r="R168" i="2"/>
  <c r="P168" i="2"/>
  <c r="BI167" i="2"/>
  <c r="BH167" i="2"/>
  <c r="BG167" i="2"/>
  <c r="BE167" i="2"/>
  <c r="T167" i="2"/>
  <c r="R167" i="2"/>
  <c r="P167" i="2"/>
  <c r="BI166" i="2"/>
  <c r="BH166" i="2"/>
  <c r="BG166" i="2"/>
  <c r="BE166" i="2"/>
  <c r="T166" i="2"/>
  <c r="R166" i="2"/>
  <c r="P166" i="2"/>
  <c r="BI165" i="2"/>
  <c r="BH165" i="2"/>
  <c r="BG165" i="2"/>
  <c r="BE165" i="2"/>
  <c r="T165" i="2"/>
  <c r="R165" i="2"/>
  <c r="P165" i="2"/>
  <c r="BI164" i="2"/>
  <c r="BH164" i="2"/>
  <c r="BG164" i="2"/>
  <c r="BE164" i="2"/>
  <c r="T164" i="2"/>
  <c r="R164" i="2"/>
  <c r="P164" i="2"/>
  <c r="BI163" i="2"/>
  <c r="BH163" i="2"/>
  <c r="BG163" i="2"/>
  <c r="BE163" i="2"/>
  <c r="T163" i="2"/>
  <c r="R163" i="2"/>
  <c r="P163" i="2"/>
  <c r="BI162" i="2"/>
  <c r="BH162" i="2"/>
  <c r="BG162" i="2"/>
  <c r="BE162" i="2"/>
  <c r="T162" i="2"/>
  <c r="R162" i="2"/>
  <c r="P162" i="2"/>
  <c r="BI161" i="2"/>
  <c r="BH161" i="2"/>
  <c r="BG161" i="2"/>
  <c r="BE161" i="2"/>
  <c r="T161" i="2"/>
  <c r="R161" i="2"/>
  <c r="P161" i="2"/>
  <c r="BI160" i="2"/>
  <c r="BH160" i="2"/>
  <c r="BG160" i="2"/>
  <c r="BE160" i="2"/>
  <c r="T160" i="2"/>
  <c r="R160" i="2"/>
  <c r="P160" i="2"/>
  <c r="BI159" i="2"/>
  <c r="BH159" i="2"/>
  <c r="BG159" i="2"/>
  <c r="BE159" i="2"/>
  <c r="T159" i="2"/>
  <c r="R159" i="2"/>
  <c r="P159" i="2"/>
  <c r="BI157" i="2"/>
  <c r="BH157" i="2"/>
  <c r="BG157" i="2"/>
  <c r="BE157" i="2"/>
  <c r="T157" i="2"/>
  <c r="R157" i="2"/>
  <c r="P157" i="2"/>
  <c r="BI156" i="2"/>
  <c r="BH156" i="2"/>
  <c r="BG156" i="2"/>
  <c r="BE156" i="2"/>
  <c r="T156" i="2"/>
  <c r="R156" i="2"/>
  <c r="P156" i="2"/>
  <c r="BI155" i="2"/>
  <c r="BH155" i="2"/>
  <c r="BG155" i="2"/>
  <c r="BE155" i="2"/>
  <c r="T155" i="2"/>
  <c r="R155" i="2"/>
  <c r="P155" i="2"/>
  <c r="BI154" i="2"/>
  <c r="BH154" i="2"/>
  <c r="BG154" i="2"/>
  <c r="BE154" i="2"/>
  <c r="T154" i="2"/>
  <c r="R154" i="2"/>
  <c r="P154" i="2"/>
  <c r="BI153" i="2"/>
  <c r="BH153" i="2"/>
  <c r="BG153" i="2"/>
  <c r="BE153" i="2"/>
  <c r="T153" i="2"/>
  <c r="R153" i="2"/>
  <c r="P153" i="2"/>
  <c r="BI152" i="2"/>
  <c r="BH152" i="2"/>
  <c r="BG152" i="2"/>
  <c r="BE152" i="2"/>
  <c r="T152" i="2"/>
  <c r="R152" i="2"/>
  <c r="P152" i="2"/>
  <c r="BI151" i="2"/>
  <c r="BH151" i="2"/>
  <c r="BG151" i="2"/>
  <c r="BE151" i="2"/>
  <c r="T151" i="2"/>
  <c r="R151" i="2"/>
  <c r="P151" i="2"/>
  <c r="BI150" i="2"/>
  <c r="BH150" i="2"/>
  <c r="BG150" i="2"/>
  <c r="BE150" i="2"/>
  <c r="T150" i="2"/>
  <c r="R150" i="2"/>
  <c r="P150" i="2"/>
  <c r="BI149" i="2"/>
  <c r="BH149" i="2"/>
  <c r="BG149" i="2"/>
  <c r="BE149" i="2"/>
  <c r="T149" i="2"/>
  <c r="R149" i="2"/>
  <c r="P149" i="2"/>
  <c r="BI148" i="2"/>
  <c r="BH148" i="2"/>
  <c r="BG148" i="2"/>
  <c r="BE148" i="2"/>
  <c r="T148" i="2"/>
  <c r="R148" i="2"/>
  <c r="P148" i="2"/>
  <c r="J142" i="2"/>
  <c r="F142" i="2"/>
  <c r="J141" i="2"/>
  <c r="F141" i="2"/>
  <c r="F139" i="2"/>
  <c r="E137" i="2"/>
  <c r="J92" i="2"/>
  <c r="F92" i="2"/>
  <c r="J91" i="2"/>
  <c r="F91" i="2"/>
  <c r="F89" i="2"/>
  <c r="E87" i="2"/>
  <c r="J12" i="2"/>
  <c r="J139" i="2"/>
  <c r="E7" i="2"/>
  <c r="E135" i="2" s="1"/>
  <c r="L90" i="1"/>
  <c r="AM90" i="1"/>
  <c r="AM89" i="1"/>
  <c r="L89" i="1"/>
  <c r="AM87" i="1"/>
  <c r="L87" i="1"/>
  <c r="L85" i="1"/>
  <c r="L84" i="1"/>
  <c r="J429" i="2"/>
  <c r="BK426" i="2"/>
  <c r="J420" i="2"/>
  <c r="BK392" i="2"/>
  <c r="BK388" i="2"/>
  <c r="BK378" i="2"/>
  <c r="BK367" i="2"/>
  <c r="J363" i="2"/>
  <c r="BK357" i="2"/>
  <c r="J351" i="2"/>
  <c r="BK342" i="2"/>
  <c r="J338" i="2"/>
  <c r="J322" i="2"/>
  <c r="BK316" i="2"/>
  <c r="J285" i="2"/>
  <c r="J277" i="2"/>
  <c r="BK237" i="2"/>
  <c r="BK225" i="2"/>
  <c r="J194" i="2"/>
  <c r="BK182" i="2"/>
  <c r="BK172" i="2"/>
  <c r="AS94" i="1"/>
  <c r="BK230" i="2"/>
  <c r="J214" i="2"/>
  <c r="BK200" i="2"/>
  <c r="BK179" i="2"/>
  <c r="J167" i="2"/>
  <c r="J155" i="2"/>
  <c r="BK430" i="2"/>
  <c r="BK413" i="2"/>
  <c r="J411" i="2"/>
  <c r="BK401" i="2"/>
  <c r="BK394" i="2"/>
  <c r="J390" i="2"/>
  <c r="BK385" i="2"/>
  <c r="BK376" i="2"/>
  <c r="J371" i="2"/>
  <c r="J359" i="2"/>
  <c r="J349" i="2"/>
  <c r="BK344" i="2"/>
  <c r="J336" i="2"/>
  <c r="BK323" i="2"/>
  <c r="J314" i="2"/>
  <c r="BK306" i="2"/>
  <c r="J290" i="2"/>
  <c r="BK272" i="2"/>
  <c r="J252" i="2"/>
  <c r="J238" i="2"/>
  <c r="BK210" i="2"/>
  <c r="J188" i="2"/>
  <c r="BK163" i="2"/>
  <c r="BK286" i="2"/>
  <c r="J258" i="2"/>
  <c r="J239" i="2"/>
  <c r="BK229" i="2"/>
  <c r="J224" i="2"/>
  <c r="J207" i="2"/>
  <c r="J192" i="2"/>
  <c r="J179" i="2"/>
  <c r="J175" i="2"/>
  <c r="J164" i="2"/>
  <c r="BK149" i="2"/>
  <c r="BK438" i="2"/>
  <c r="BK303" i="2"/>
  <c r="BK288" i="2"/>
  <c r="BK255" i="2"/>
  <c r="J234" i="2"/>
  <c r="BK206" i="2"/>
  <c r="BK194" i="2"/>
  <c r="J171" i="2"/>
  <c r="J148" i="2"/>
  <c r="J409" i="2"/>
  <c r="J402" i="2"/>
  <c r="J385" i="2"/>
  <c r="J378" i="2"/>
  <c r="J372" i="2"/>
  <c r="BK366" i="2"/>
  <c r="J361" i="2"/>
  <c r="J353" i="2"/>
  <c r="J341" i="2"/>
  <c r="BK334" i="2"/>
  <c r="J323" i="2"/>
  <c r="BK313" i="2"/>
  <c r="BK304" i="2"/>
  <c r="J280" i="2"/>
  <c r="BK256" i="2"/>
  <c r="BK235" i="2"/>
  <c r="J225" i="2"/>
  <c r="J201" i="2"/>
  <c r="BK189" i="2"/>
  <c r="J159" i="2"/>
  <c r="J150" i="2"/>
  <c r="BK418" i="3"/>
  <c r="J393" i="3"/>
  <c r="J381" i="3"/>
  <c r="BK359" i="3"/>
  <c r="BK338" i="3"/>
  <c r="BK317" i="3"/>
  <c r="BK278" i="3"/>
  <c r="J249" i="3"/>
  <c r="BK234" i="3"/>
  <c r="BK224" i="3"/>
  <c r="BK203" i="3"/>
  <c r="BK191" i="3"/>
  <c r="J386" i="3"/>
  <c r="J366" i="3"/>
  <c r="BK354" i="3"/>
  <c r="J335" i="3"/>
  <c r="BK318" i="3"/>
  <c r="J301" i="3"/>
  <c r="BK271" i="3"/>
  <c r="J256" i="3"/>
  <c r="BK228" i="3"/>
  <c r="BK207" i="3"/>
  <c r="BK194" i="3"/>
  <c r="J175" i="3"/>
  <c r="BK166" i="3"/>
  <c r="J401" i="3"/>
  <c r="BK374" i="3"/>
  <c r="J354" i="3"/>
  <c r="J332" i="3"/>
  <c r="BK307" i="3"/>
  <c r="BK282" i="3"/>
  <c r="J274" i="3"/>
  <c r="J255" i="3"/>
  <c r="J239" i="3"/>
  <c r="BK225" i="3"/>
  <c r="BK205" i="3"/>
  <c r="J184" i="3"/>
  <c r="BK173" i="3"/>
  <c r="J152" i="3"/>
  <c r="J434" i="3"/>
  <c r="BK424" i="3"/>
  <c r="J407" i="3"/>
  <c r="J383" i="3"/>
  <c r="BK373" i="3"/>
  <c r="BK352" i="3"/>
  <c r="BK334" i="3"/>
  <c r="J328" i="3"/>
  <c r="BK315" i="3"/>
  <c r="BK293" i="3"/>
  <c r="BK188" i="3"/>
  <c r="J177" i="3"/>
  <c r="BK150" i="3"/>
  <c r="BK428" i="3"/>
  <c r="J395" i="3"/>
  <c r="J379" i="3"/>
  <c r="BK357" i="3"/>
  <c r="J345" i="3"/>
  <c r="J338" i="3"/>
  <c r="BK323" i="3"/>
  <c r="J308" i="3"/>
  <c r="J288" i="3"/>
  <c r="J278" i="3"/>
  <c r="BK265" i="3"/>
  <c r="J243" i="3"/>
  <c r="J225" i="3"/>
  <c r="J215" i="3"/>
  <c r="J202" i="3"/>
  <c r="J190" i="3"/>
  <c r="BK172" i="3"/>
  <c r="J162" i="3"/>
  <c r="BK151" i="3"/>
  <c r="BK413" i="3"/>
  <c r="J396" i="3"/>
  <c r="BK383" i="3"/>
  <c r="BK371" i="3"/>
  <c r="BK360" i="3"/>
  <c r="BK349" i="3"/>
  <c r="BK324" i="3"/>
  <c r="J305" i="3"/>
  <c r="J293" i="3"/>
  <c r="J269" i="3"/>
  <c r="BK256" i="3"/>
  <c r="BK240" i="3"/>
  <c r="J223" i="3"/>
  <c r="BK202" i="3"/>
  <c r="J192" i="3"/>
  <c r="J171" i="3"/>
  <c r="BK160" i="4"/>
  <c r="J141" i="4"/>
  <c r="J131" i="4"/>
  <c r="BK161" i="4"/>
  <c r="J139" i="4"/>
  <c r="J137" i="4"/>
  <c r="J127" i="4"/>
  <c r="BK155" i="4"/>
  <c r="J149" i="4"/>
  <c r="BK139" i="4"/>
  <c r="BK135" i="4"/>
  <c r="J126" i="4"/>
  <c r="J430" i="2"/>
  <c r="J427" i="2"/>
  <c r="BK423" i="2"/>
  <c r="J418" i="2"/>
  <c r="BK390" i="2"/>
  <c r="BK382" i="2"/>
  <c r="J366" i="2"/>
  <c r="BK362" i="2"/>
  <c r="J358" i="2"/>
  <c r="BK353" i="2"/>
  <c r="J344" i="2"/>
  <c r="BK335" i="2"/>
  <c r="J310" i="2"/>
  <c r="J283" i="2"/>
  <c r="J256" i="2"/>
  <c r="J232" i="2"/>
  <c r="J217" i="2"/>
  <c r="BK192" i="2"/>
  <c r="BK175" i="2"/>
  <c r="J151" i="2"/>
  <c r="BK277" i="2"/>
  <c r="BK266" i="2"/>
  <c r="J250" i="2"/>
  <c r="BK227" i="2"/>
  <c r="J213" i="2"/>
  <c r="BK197" i="2"/>
  <c r="BK177" i="2"/>
  <c r="J165" i="2"/>
  <c r="BK148" i="2"/>
  <c r="BK414" i="2"/>
  <c r="J412" i="2"/>
  <c r="J405" i="2"/>
  <c r="J398" i="2"/>
  <c r="BK393" i="2"/>
  <c r="BK389" i="2"/>
  <c r="BK384" i="2"/>
  <c r="BK372" i="2"/>
  <c r="J362" i="2"/>
  <c r="BK351" i="2"/>
  <c r="J346" i="2"/>
  <c r="BK338" i="2"/>
  <c r="BK332" i="2"/>
  <c r="BK320" i="2"/>
  <c r="J313" i="2"/>
  <c r="BK299" i="2"/>
  <c r="J271" i="2"/>
  <c r="J259" i="2"/>
  <c r="BK240" i="2"/>
  <c r="BK199" i="2"/>
  <c r="BK164" i="2"/>
  <c r="BK290" i="2"/>
  <c r="J265" i="2"/>
  <c r="BK241" i="2"/>
  <c r="BK228" i="2"/>
  <c r="BK220" i="2"/>
  <c r="BK203" i="2"/>
  <c r="J186" i="2"/>
  <c r="J176" i="2"/>
  <c r="BK165" i="2"/>
  <c r="J154" i="2"/>
  <c r="J438" i="2"/>
  <c r="BK434" i="2"/>
  <c r="J268" i="2"/>
  <c r="BK252" i="2"/>
  <c r="BK224" i="2"/>
  <c r="BK207" i="2"/>
  <c r="J198" i="2"/>
  <c r="BK184" i="2"/>
  <c r="BK159" i="2"/>
  <c r="BK441" i="2"/>
  <c r="BK422" i="2"/>
  <c r="BK406" i="2"/>
  <c r="J394" i="2"/>
  <c r="BK379" i="2"/>
  <c r="J376" i="2"/>
  <c r="J368" i="2"/>
  <c r="BK360" i="2"/>
  <c r="BK345" i="2"/>
  <c r="J340" i="2"/>
  <c r="J331" i="2"/>
  <c r="BK324" i="2"/>
  <c r="BK314" i="2"/>
  <c r="J306" i="2"/>
  <c r="BK285" i="2"/>
  <c r="BK271" i="2"/>
  <c r="J255" i="2"/>
  <c r="J242" i="2"/>
  <c r="J228" i="2"/>
  <c r="BK216" i="2"/>
  <c r="BK198" i="2"/>
  <c r="BK169" i="2"/>
  <c r="BK153" i="2"/>
  <c r="J425" i="3"/>
  <c r="J402" i="3"/>
  <c r="BK388" i="3"/>
  <c r="J365" i="3"/>
  <c r="BK344" i="3"/>
  <c r="J320" i="3"/>
  <c r="J290" i="3"/>
  <c r="J252" i="3"/>
  <c r="J236" i="3"/>
  <c r="BK226" i="3"/>
  <c r="BK219" i="3"/>
  <c r="J199" i="3"/>
  <c r="J387" i="3"/>
  <c r="J375" i="3"/>
  <c r="J361" i="3"/>
  <c r="BK351" i="3"/>
  <c r="J331" i="3"/>
  <c r="J307" i="3"/>
  <c r="BK274" i="3"/>
  <c r="BK250" i="3"/>
  <c r="BK233" i="3"/>
  <c r="J209" i="3"/>
  <c r="BK196" i="3"/>
  <c r="BK176" i="3"/>
  <c r="BK168" i="3"/>
  <c r="BK409" i="3"/>
  <c r="BK375" i="3"/>
  <c r="J364" i="3"/>
  <c r="BK333" i="3"/>
  <c r="J298" i="3"/>
  <c r="BK277" i="3"/>
  <c r="BK272" i="3"/>
  <c r="BK252" i="3"/>
  <c r="J238" i="3"/>
  <c r="BK229" i="3"/>
  <c r="BK217" i="3"/>
  <c r="J198" i="3"/>
  <c r="J183" i="3"/>
  <c r="BK162" i="3"/>
  <c r="BK149" i="3"/>
  <c r="BK434" i="3"/>
  <c r="J431" i="3"/>
  <c r="J413" i="3"/>
  <c r="BK396" i="3"/>
  <c r="BK389" i="3"/>
  <c r="J371" i="3"/>
  <c r="BK345" i="3"/>
  <c r="J316" i="3"/>
  <c r="J300" i="3"/>
  <c r="BK246" i="3"/>
  <c r="BK184" i="3"/>
  <c r="J166" i="3"/>
  <c r="BK152" i="3"/>
  <c r="BK425" i="3"/>
  <c r="BK407" i="3"/>
  <c r="BK382" i="3"/>
  <c r="J362" i="3"/>
  <c r="J350" i="3"/>
  <c r="BK340" i="3"/>
  <c r="J329" i="3"/>
  <c r="BK311" i="3"/>
  <c r="BK283" i="3"/>
  <c r="J271" i="3"/>
  <c r="BK260" i="3"/>
  <c r="BK241" i="3"/>
  <c r="J226" i="3"/>
  <c r="J218" i="3"/>
  <c r="BK209" i="3"/>
  <c r="BK200" i="3"/>
  <c r="BK186" i="3"/>
  <c r="BK170" i="3"/>
  <c r="BK157" i="3"/>
  <c r="J419" i="3"/>
  <c r="BK401" i="3"/>
  <c r="J384" i="3"/>
  <c r="BK376" i="3"/>
  <c r="BK355" i="3"/>
  <c r="BK339" i="3"/>
  <c r="BK316" i="3"/>
  <c r="J283" i="3"/>
  <c r="J263" i="3"/>
  <c r="J250" i="3"/>
  <c r="J230" i="3"/>
  <c r="BK210" i="3"/>
  <c r="BK197" i="3"/>
  <c r="J163" i="3"/>
  <c r="BK158" i="4"/>
  <c r="BK137" i="4"/>
  <c r="J124" i="4"/>
  <c r="J157" i="4"/>
  <c r="J147" i="4"/>
  <c r="J436" i="2"/>
  <c r="BK424" i="2"/>
  <c r="J423" i="2"/>
  <c r="J397" i="2"/>
  <c r="BK387" i="2"/>
  <c r="J373" i="2"/>
  <c r="J364" i="2"/>
  <c r="BK359" i="2"/>
  <c r="BK352" i="2"/>
  <c r="J343" i="2"/>
  <c r="J332" i="2"/>
  <c r="J319" i="2"/>
  <c r="J311" i="2"/>
  <c r="BK296" i="2"/>
  <c r="BK280" i="2"/>
  <c r="BK233" i="2"/>
  <c r="BK219" i="2"/>
  <c r="BK208" i="2"/>
  <c r="J177" i="2"/>
  <c r="J161" i="2"/>
  <c r="J288" i="2"/>
  <c r="BK269" i="2"/>
  <c r="BK253" i="2"/>
  <c r="J233" i="2"/>
  <c r="J210" i="2"/>
  <c r="J202" i="2"/>
  <c r="J189" i="2"/>
  <c r="BK176" i="2"/>
  <c r="J166" i="2"/>
  <c r="BK154" i="2"/>
  <c r="J417" i="2"/>
  <c r="J414" i="2"/>
  <c r="BK411" i="2"/>
  <c r="BK402" i="2"/>
  <c r="BK397" i="2"/>
  <c r="J388" i="2"/>
  <c r="J381" i="2"/>
  <c r="BK374" i="2"/>
  <c r="BK355" i="2"/>
  <c r="J347" i="2"/>
  <c r="BK340" i="2"/>
  <c r="J335" i="2"/>
  <c r="BK327" i="2"/>
  <c r="J321" i="2"/>
  <c r="BK310" i="2"/>
  <c r="BK301" i="2"/>
  <c r="BK283" i="2"/>
  <c r="J269" i="2"/>
  <c r="J249" i="2"/>
  <c r="BK218" i="2"/>
  <c r="J181" i="2"/>
  <c r="BK162" i="2"/>
  <c r="J262" i="2"/>
  <c r="J240" i="2"/>
  <c r="J237" i="2"/>
  <c r="J226" i="2"/>
  <c r="J218" i="2"/>
  <c r="J199" i="2"/>
  <c r="BK185" i="2"/>
  <c r="J172" i="2"/>
  <c r="BK161" i="2"/>
  <c r="BK437" i="2"/>
  <c r="J434" i="2"/>
  <c r="BK291" i="2"/>
  <c r="BK263" i="2"/>
  <c r="J243" i="2"/>
  <c r="BK213" i="2"/>
  <c r="BK202" i="2"/>
  <c r="J187" i="2"/>
  <c r="J169" i="2"/>
  <c r="BK150" i="2"/>
  <c r="J433" i="2"/>
  <c r="J407" i="2"/>
  <c r="J401" i="2"/>
  <c r="J393" i="2"/>
  <c r="J375" i="2"/>
  <c r="BK371" i="2"/>
  <c r="BK364" i="2"/>
  <c r="J354" i="2"/>
  <c r="BK337" i="2"/>
  <c r="BK326" i="2"/>
  <c r="J318" i="2"/>
  <c r="J299" i="2"/>
  <c r="BK275" i="2"/>
  <c r="BK262" i="2"/>
  <c r="BK246" i="2"/>
  <c r="J230" i="2"/>
  <c r="J220" i="2"/>
  <c r="J193" i="2"/>
  <c r="BK186" i="2"/>
  <c r="J156" i="2"/>
  <c r="BK151" i="2"/>
  <c r="BK422" i="3"/>
  <c r="BK410" i="3"/>
  <c r="J385" i="3"/>
  <c r="BK362" i="3"/>
  <c r="J339" i="3"/>
  <c r="J318" i="3"/>
  <c r="BK305" i="3"/>
  <c r="J277" i="3"/>
  <c r="J237" i="3"/>
  <c r="J229" i="3"/>
  <c r="J217" i="3"/>
  <c r="J194" i="3"/>
  <c r="J392" i="3"/>
  <c r="J388" i="3"/>
  <c r="J373" i="3"/>
  <c r="J357" i="3"/>
  <c r="J337" i="3"/>
  <c r="J324" i="3"/>
  <c r="J311" i="3"/>
  <c r="J282" i="3"/>
  <c r="J262" i="3"/>
  <c r="J235" i="3"/>
  <c r="BK218" i="3"/>
  <c r="BK199" i="3"/>
  <c r="J180" i="3"/>
  <c r="J169" i="3"/>
  <c r="BK397" i="3"/>
  <c r="BK368" i="3"/>
  <c r="BK335" i="3"/>
  <c r="BK329" i="3"/>
  <c r="BK290" i="3"/>
  <c r="J275" i="3"/>
  <c r="J258" i="3"/>
  <c r="J241" i="3"/>
  <c r="J232" i="3"/>
  <c r="J220" i="3"/>
  <c r="J200" i="3"/>
  <c r="BK185" i="3"/>
  <c r="BK175" i="3"/>
  <c r="J159" i="3"/>
  <c r="J148" i="3"/>
  <c r="BK432" i="3"/>
  <c r="J421" i="3"/>
  <c r="J409" i="3"/>
  <c r="BK392" i="3"/>
  <c r="J382" i="3"/>
  <c r="BK358" i="3"/>
  <c r="BK346" i="3"/>
  <c r="BK337" i="3"/>
  <c r="J323" i="3"/>
  <c r="BK308" i="3"/>
  <c r="BK181" i="3"/>
  <c r="BK161" i="3"/>
  <c r="BK431" i="3"/>
  <c r="J418" i="3"/>
  <c r="J406" i="3"/>
  <c r="BK386" i="3"/>
  <c r="BK363" i="3"/>
  <c r="J348" i="3"/>
  <c r="BK342" i="3"/>
  <c r="BK331" i="3"/>
  <c r="BK313" i="3"/>
  <c r="J296" i="3"/>
  <c r="BK280" i="3"/>
  <c r="BK266" i="3"/>
  <c r="BK258" i="3"/>
  <c r="BK237" i="3"/>
  <c r="J224" i="3"/>
  <c r="J210" i="3"/>
  <c r="J197" i="3"/>
  <c r="BK183" i="3"/>
  <c r="BK160" i="3"/>
  <c r="BK153" i="3"/>
  <c r="BK408" i="3"/>
  <c r="BK399" i="3"/>
  <c r="BK379" i="3"/>
  <c r="J368" i="3"/>
  <c r="J351" i="3"/>
  <c r="J346" i="3"/>
  <c r="BK320" i="3"/>
  <c r="BK296" i="3"/>
  <c r="BK275" i="3"/>
  <c r="J260" i="3"/>
  <c r="J247" i="3"/>
  <c r="BK227" i="3"/>
  <c r="J206" i="3"/>
  <c r="J196" i="3"/>
  <c r="BK187" i="3"/>
  <c r="J161" i="4"/>
  <c r="J140" i="4"/>
  <c r="BK131" i="4"/>
  <c r="BK126" i="4"/>
  <c r="J160" i="4"/>
  <c r="J153" i="4"/>
  <c r="J145" i="4"/>
  <c r="BK141" i="4"/>
  <c r="J133" i="4"/>
  <c r="J129" i="4"/>
  <c r="BK157" i="4"/>
  <c r="BK153" i="4"/>
  <c r="BK140" i="4"/>
  <c r="J136" i="4"/>
  <c r="BK125" i="4"/>
  <c r="BK124" i="4"/>
  <c r="BK143" i="4"/>
  <c r="BK429" i="2"/>
  <c r="J424" i="2"/>
  <c r="BK418" i="2"/>
  <c r="J396" i="2"/>
  <c r="J389" i="2"/>
  <c r="BK381" i="2"/>
  <c r="BK368" i="2"/>
  <c r="BK361" i="2"/>
  <c r="J355" i="2"/>
  <c r="BK346" i="2"/>
  <c r="J339" i="2"/>
  <c r="BK329" i="2"/>
  <c r="J303" i="2"/>
  <c r="J293" i="2"/>
  <c r="J275" i="2"/>
  <c r="BK239" i="2"/>
  <c r="BK231" i="2"/>
  <c r="J216" i="2"/>
  <c r="BK190" i="2"/>
  <c r="J173" i="2"/>
  <c r="J160" i="2"/>
  <c r="J295" i="2"/>
  <c r="BK265" i="2"/>
  <c r="J235" i="2"/>
  <c r="BK226" i="2"/>
  <c r="J208" i="2"/>
  <c r="BK201" i="2"/>
  <c r="J184" i="2"/>
  <c r="BK160" i="2"/>
  <c r="J152" i="2"/>
  <c r="J415" i="2"/>
  <c r="BK412" i="2"/>
  <c r="BK409" i="2"/>
  <c r="J404" i="2"/>
  <c r="BK396" i="2"/>
  <c r="BK391" i="2"/>
  <c r="BK386" i="2"/>
  <c r="J379" i="2"/>
  <c r="J369" i="2"/>
  <c r="BK358" i="2"/>
  <c r="BK348" i="2"/>
  <c r="BK339" i="2"/>
  <c r="J334" i="2"/>
  <c r="J324" i="2"/>
  <c r="BK319" i="2"/>
  <c r="BK308" i="2"/>
  <c r="BK295" i="2"/>
  <c r="J274" i="2"/>
  <c r="J261" i="2"/>
  <c r="BK242" i="2"/>
  <c r="J229" i="2"/>
  <c r="BK191" i="2"/>
  <c r="BK168" i="2"/>
  <c r="J298" i="2"/>
  <c r="J266" i="2"/>
  <c r="BK243" i="2"/>
  <c r="BK234" i="2"/>
  <c r="J221" i="2"/>
  <c r="J206" i="2"/>
  <c r="BK187" i="2"/>
  <c r="J178" i="2"/>
  <c r="J168" i="2"/>
  <c r="BK155" i="2"/>
  <c r="J439" i="2"/>
  <c r="BK436" i="2"/>
  <c r="BK293" i="2"/>
  <c r="J272" i="2"/>
  <c r="BK259" i="2"/>
  <c r="J241" i="2"/>
  <c r="J211" i="2"/>
  <c r="J200" i="2"/>
  <c r="J182" i="2"/>
  <c r="BK156" i="2"/>
  <c r="J441" i="2"/>
  <c r="BK420" i="2"/>
  <c r="BK405" i="2"/>
  <c r="J400" i="2"/>
  <c r="J384" i="2"/>
  <c r="J377" i="2"/>
  <c r="BK373" i="2"/>
  <c r="BK369" i="2"/>
  <c r="BK363" i="2"/>
  <c r="BK347" i="2"/>
  <c r="BK343" i="2"/>
  <c r="BK336" i="2"/>
  <c r="J327" i="2"/>
  <c r="BK321" i="2"/>
  <c r="J308" i="2"/>
  <c r="J296" i="2"/>
  <c r="BK268" i="2"/>
  <c r="J253" i="2"/>
  <c r="J231" i="2"/>
  <c r="J203" i="2"/>
  <c r="J191" i="2"/>
  <c r="J185" i="2"/>
  <c r="J163" i="2"/>
  <c r="BK152" i="2"/>
  <c r="J424" i="3"/>
  <c r="J404" i="3"/>
  <c r="J391" i="3"/>
  <c r="J360" i="3"/>
  <c r="BK328" i="3"/>
  <c r="J313" i="3"/>
  <c r="J268" i="3"/>
  <c r="BK238" i="3"/>
  <c r="J227" i="3"/>
  <c r="J221" i="3"/>
  <c r="BK201" i="3"/>
  <c r="BK192" i="3"/>
  <c r="J389" i="3"/>
  <c r="J372" i="3"/>
  <c r="J358" i="3"/>
  <c r="J340" i="3"/>
  <c r="BK321" i="3"/>
  <c r="BK310" i="3"/>
  <c r="J292" i="3"/>
  <c r="BK263" i="3"/>
  <c r="BK239" i="3"/>
  <c r="J219" i="3"/>
  <c r="J203" i="3"/>
  <c r="BK182" i="3"/>
  <c r="J173" i="3"/>
  <c r="J160" i="3"/>
  <c r="J378" i="3"/>
  <c r="J369" i="3"/>
  <c r="BK341" i="3"/>
  <c r="BK326" i="3"/>
  <c r="J285" i="3"/>
  <c r="BK259" i="3"/>
  <c r="J246" i="3"/>
  <c r="BK235" i="3"/>
  <c r="BK223" i="3"/>
  <c r="BK215" i="3"/>
  <c r="J186" i="3"/>
  <c r="J170" i="3"/>
  <c r="J436" i="3"/>
  <c r="J433" i="3"/>
  <c r="J422" i="3"/>
  <c r="BK412" i="3"/>
  <c r="BK395" i="3"/>
  <c r="J374" i="3"/>
  <c r="J349" i="3"/>
  <c r="J342" i="3"/>
  <c r="BK319" i="3"/>
  <c r="BK298" i="3"/>
  <c r="J193" i="3"/>
  <c r="J167" i="3"/>
  <c r="J157" i="3"/>
  <c r="J429" i="3"/>
  <c r="J410" i="3"/>
  <c r="BK387" i="3"/>
  <c r="BK364" i="3"/>
  <c r="J355" i="3"/>
  <c r="J343" i="3"/>
  <c r="J334" i="3"/>
  <c r="J315" i="3"/>
  <c r="BK303" i="3"/>
  <c r="BK292" i="3"/>
  <c r="J272" i="3"/>
  <c r="BK262" i="3"/>
  <c r="BK247" i="3"/>
  <c r="J233" i="3"/>
  <c r="BK220" i="3"/>
  <c r="J212" i="3"/>
  <c r="BK206" i="3"/>
  <c r="BK178" i="3"/>
  <c r="BK167" i="3"/>
  <c r="J156" i="3"/>
  <c r="BK148" i="3"/>
  <c r="BK406" i="3"/>
  <c r="BK391" i="3"/>
  <c r="BK372" i="3"/>
  <c r="BK366" i="3"/>
  <c r="BK350" i="3"/>
  <c r="J341" i="3"/>
  <c r="J321" i="3"/>
  <c r="BK301" i="3"/>
  <c r="BK285" i="3"/>
  <c r="J266" i="3"/>
  <c r="BK253" i="3"/>
  <c r="BK231" i="3"/>
  <c r="J228" i="3"/>
  <c r="J205" i="3"/>
  <c r="BK193" i="3"/>
  <c r="BK159" i="3"/>
  <c r="J143" i="4"/>
  <c r="BK136" i="4"/>
  <c r="J125" i="4"/>
  <c r="J158" i="4"/>
  <c r="BK149" i="4"/>
  <c r="BK427" i="2"/>
  <c r="J426" i="2"/>
  <c r="J422" i="2"/>
  <c r="BK417" i="2"/>
  <c r="J391" i="2"/>
  <c r="J386" i="2"/>
  <c r="BK375" i="2"/>
  <c r="J365" i="2"/>
  <c r="J360" i="2"/>
  <c r="BK354" i="2"/>
  <c r="J348" i="2"/>
  <c r="BK341" i="2"/>
  <c r="J326" i="2"/>
  <c r="BK318" i="2"/>
  <c r="BK298" i="2"/>
  <c r="J281" i="2"/>
  <c r="J263" i="2"/>
  <c r="BK236" i="2"/>
  <c r="BK222" i="2"/>
  <c r="BK211" i="2"/>
  <c r="BK193" i="2"/>
  <c r="BK178" i="2"/>
  <c r="BK166" i="2"/>
  <c r="BK157" i="2"/>
  <c r="J278" i="2"/>
  <c r="BK261" i="2"/>
  <c r="J236" i="2"/>
  <c r="J222" i="2"/>
  <c r="BK204" i="2"/>
  <c r="BK195" i="2"/>
  <c r="BK181" i="2"/>
  <c r="BK173" i="2"/>
  <c r="J153" i="2"/>
  <c r="BK415" i="2"/>
  <c r="J413" i="2"/>
  <c r="J406" i="2"/>
  <c r="BK400" i="2"/>
  <c r="J392" i="2"/>
  <c r="J387" i="2"/>
  <c r="BK377" i="2"/>
  <c r="J367" i="2"/>
  <c r="J352" i="2"/>
  <c r="J345" i="2"/>
  <c r="J337" i="2"/>
  <c r="BK331" i="2"/>
  <c r="BK322" i="2"/>
  <c r="J316" i="2"/>
  <c r="J304" i="2"/>
  <c r="J291" i="2"/>
  <c r="J246" i="2"/>
  <c r="BK232" i="2"/>
  <c r="BK221" i="2"/>
  <c r="J195" i="2"/>
  <c r="BK171" i="2"/>
  <c r="BK433" i="2"/>
  <c r="BK281" i="2"/>
  <c r="BK238" i="2"/>
  <c r="J227" i="2"/>
  <c r="J219" i="2"/>
  <c r="BK188" i="2"/>
  <c r="BK183" i="2"/>
  <c r="BK170" i="2"/>
  <c r="J157" i="2"/>
  <c r="BK439" i="2"/>
  <c r="J437" i="2"/>
  <c r="J301" i="2"/>
  <c r="BK278" i="2"/>
  <c r="BK250" i="2"/>
  <c r="BK217" i="2"/>
  <c r="J204" i="2"/>
  <c r="J197" i="2"/>
  <c r="J183" i="2"/>
  <c r="J162" i="2"/>
  <c r="J149" i="2"/>
  <c r="BK407" i="2"/>
  <c r="BK404" i="2"/>
  <c r="BK398" i="2"/>
  <c r="J382" i="2"/>
  <c r="J374" i="2"/>
  <c r="BK365" i="2"/>
  <c r="J357" i="2"/>
  <c r="BK349" i="2"/>
  <c r="J342" i="2"/>
  <c r="J329" i="2"/>
  <c r="J320" i="2"/>
  <c r="BK311" i="2"/>
  <c r="J286" i="2"/>
  <c r="BK274" i="2"/>
  <c r="BK258" i="2"/>
  <c r="BK249" i="2"/>
  <c r="BK214" i="2"/>
  <c r="J190" i="2"/>
  <c r="J170" i="2"/>
  <c r="BK167" i="2"/>
  <c r="BK429" i="3"/>
  <c r="BK415" i="3"/>
  <c r="J394" i="3"/>
  <c r="BK384" i="3"/>
  <c r="J363" i="3"/>
  <c r="BK348" i="3"/>
  <c r="J326" i="3"/>
  <c r="BK287" i="3"/>
  <c r="J253" i="3"/>
  <c r="J240" i="3"/>
  <c r="J231" i="3"/>
  <c r="BK212" i="3"/>
  <c r="BK189" i="3"/>
  <c r="J188" i="3"/>
  <c r="J182" i="3"/>
  <c r="J181" i="3"/>
  <c r="BK177" i="3"/>
  <c r="J176" i="3"/>
  <c r="BK171" i="3"/>
  <c r="J168" i="3"/>
  <c r="J165" i="3"/>
  <c r="BK164" i="3"/>
  <c r="BK163" i="3"/>
  <c r="BK156" i="3"/>
  <c r="J155" i="3"/>
  <c r="J154" i="3"/>
  <c r="J153" i="3"/>
  <c r="J151" i="3"/>
  <c r="J150" i="3"/>
  <c r="J149" i="3"/>
  <c r="BK421" i="3"/>
  <c r="J417" i="3"/>
  <c r="J408" i="3"/>
  <c r="BK404" i="3"/>
  <c r="BK402" i="3"/>
  <c r="J400" i="3"/>
  <c r="J397" i="3"/>
  <c r="BK394" i="3"/>
  <c r="J390" i="3"/>
  <c r="BK385" i="3"/>
  <c r="BK370" i="3"/>
  <c r="J356" i="3"/>
  <c r="J336" i="3"/>
  <c r="J319" i="3"/>
  <c r="BK295" i="3"/>
  <c r="J265" i="3"/>
  <c r="BK236" i="3"/>
  <c r="BK230" i="3"/>
  <c r="BK213" i="3"/>
  <c r="J187" i="3"/>
  <c r="J172" i="3"/>
  <c r="J412" i="3"/>
  <c r="J376" i="3"/>
  <c r="BK365" i="3"/>
  <c r="J352" i="3"/>
  <c r="J310" i="3"/>
  <c r="BK288" i="3"/>
  <c r="BK268" i="3"/>
  <c r="BK249" i="3"/>
  <c r="J234" i="3"/>
  <c r="BK221" i="3"/>
  <c r="J213" i="3"/>
  <c r="J189" i="3"/>
  <c r="J178" i="3"/>
  <c r="J164" i="3"/>
  <c r="BK154" i="3"/>
  <c r="BK436" i="3"/>
  <c r="BK433" i="3"/>
  <c r="J428" i="3"/>
  <c r="BK419" i="3"/>
  <c r="J399" i="3"/>
  <c r="BK390" i="3"/>
  <c r="BK378" i="3"/>
  <c r="BK356" i="3"/>
  <c r="BK343" i="3"/>
  <c r="BK332" i="3"/>
  <c r="J303" i="3"/>
  <c r="BK190" i="3"/>
  <c r="BK180" i="3"/>
  <c r="BK165" i="3"/>
  <c r="J432" i="3"/>
  <c r="BK417" i="3"/>
  <c r="BK393" i="3"/>
  <c r="BK369" i="3"/>
  <c r="BK361" i="3"/>
  <c r="J344" i="3"/>
  <c r="J333" i="3"/>
  <c r="J317" i="3"/>
  <c r="BK300" i="3"/>
  <c r="J287" i="3"/>
  <c r="BK269" i="3"/>
  <c r="J259" i="3"/>
  <c r="BK232" i="3"/>
  <c r="J216" i="3"/>
  <c r="J207" i="3"/>
  <c r="BK198" i="3"/>
  <c r="J185" i="3"/>
  <c r="BK169" i="3"/>
  <c r="BK155" i="3"/>
  <c r="J415" i="3"/>
  <c r="BK400" i="3"/>
  <c r="BK381" i="3"/>
  <c r="J370" i="3"/>
  <c r="J359" i="3"/>
  <c r="BK336" i="3"/>
  <c r="J295" i="3"/>
  <c r="J280" i="3"/>
  <c r="BK255" i="3"/>
  <c r="BK243" i="3"/>
  <c r="BK216" i="3"/>
  <c r="J201" i="3"/>
  <c r="J191" i="3"/>
  <c r="J161" i="3"/>
  <c r="BK145" i="4"/>
  <c r="BK138" i="4"/>
  <c r="BK129" i="4"/>
  <c r="J155" i="4"/>
  <c r="J135" i="4"/>
  <c r="BK147" i="4"/>
  <c r="J138" i="4"/>
  <c r="BK133" i="4"/>
  <c r="BK127" i="4"/>
  <c r="BK147" i="2" l="1"/>
  <c r="J147" i="2"/>
  <c r="J98" i="2" s="1"/>
  <c r="T147" i="2"/>
  <c r="BK174" i="2"/>
  <c r="J174" i="2" s="1"/>
  <c r="J100" i="2" s="1"/>
  <c r="R174" i="2"/>
  <c r="R196" i="2"/>
  <c r="T223" i="2"/>
  <c r="P264" i="2"/>
  <c r="T264" i="2"/>
  <c r="R317" i="2"/>
  <c r="T325" i="2"/>
  <c r="R330" i="2"/>
  <c r="T330" i="2"/>
  <c r="BK350" i="2"/>
  <c r="J350" i="2" s="1"/>
  <c r="J114" i="2" s="1"/>
  <c r="P356" i="2"/>
  <c r="R370" i="2"/>
  <c r="T370" i="2"/>
  <c r="BK403" i="2"/>
  <c r="J403" i="2" s="1"/>
  <c r="J118" i="2" s="1"/>
  <c r="P410" i="2"/>
  <c r="R421" i="2"/>
  <c r="R428" i="2"/>
  <c r="R432" i="2"/>
  <c r="T432" i="2"/>
  <c r="BK158" i="3"/>
  <c r="J158" i="3"/>
  <c r="J99" i="3" s="1"/>
  <c r="R174" i="3"/>
  <c r="T179" i="3"/>
  <c r="BK222" i="3"/>
  <c r="J222" i="3"/>
  <c r="J103" i="3"/>
  <c r="R245" i="3"/>
  <c r="P281" i="3"/>
  <c r="R314" i="3"/>
  <c r="R330" i="3"/>
  <c r="T347" i="3"/>
  <c r="R353" i="3"/>
  <c r="P380" i="3"/>
  <c r="R398" i="3"/>
  <c r="T405" i="3"/>
  <c r="BK423" i="3"/>
  <c r="J423" i="3"/>
  <c r="J121" i="3"/>
  <c r="BK430" i="3"/>
  <c r="J430" i="3"/>
  <c r="J124" i="3"/>
  <c r="R123" i="4"/>
  <c r="R122" i="4"/>
  <c r="R121" i="4"/>
  <c r="T158" i="2"/>
  <c r="T174" i="2"/>
  <c r="R180" i="2"/>
  <c r="T196" i="2"/>
  <c r="BK248" i="2"/>
  <c r="J248" i="2"/>
  <c r="J106" i="2" s="1"/>
  <c r="R248" i="2"/>
  <c r="BK284" i="2"/>
  <c r="J284" i="2" s="1"/>
  <c r="J108" i="2" s="1"/>
  <c r="BK317" i="2"/>
  <c r="J317" i="2" s="1"/>
  <c r="J109" i="2" s="1"/>
  <c r="BK325" i="2"/>
  <c r="J325" i="2" s="1"/>
  <c r="J110" i="2" s="1"/>
  <c r="BK330" i="2"/>
  <c r="J330" i="2" s="1"/>
  <c r="J112" i="2" s="1"/>
  <c r="P333" i="2"/>
  <c r="R350" i="2"/>
  <c r="T356" i="2"/>
  <c r="T383" i="2"/>
  <c r="T403" i="2"/>
  <c r="P421" i="2"/>
  <c r="BK428" i="2"/>
  <c r="J428" i="2" s="1"/>
  <c r="J121" i="2" s="1"/>
  <c r="P432" i="2"/>
  <c r="T435" i="2"/>
  <c r="P147" i="3"/>
  <c r="R158" i="3"/>
  <c r="BK179" i="3"/>
  <c r="J179" i="3"/>
  <c r="J101" i="3"/>
  <c r="R195" i="3"/>
  <c r="P261" i="3"/>
  <c r="R281" i="3"/>
  <c r="BK322" i="3"/>
  <c r="J322" i="3"/>
  <c r="J110" i="3" s="1"/>
  <c r="P330" i="3"/>
  <c r="P347" i="3"/>
  <c r="T353" i="3"/>
  <c r="T367" i="3"/>
  <c r="BK398" i="3"/>
  <c r="J398" i="3"/>
  <c r="J118" i="3" s="1"/>
  <c r="P405" i="3"/>
  <c r="P416" i="3"/>
  <c r="P423" i="3"/>
  <c r="P427" i="3"/>
  <c r="T430" i="3"/>
  <c r="BK134" i="4"/>
  <c r="J134" i="4"/>
  <c r="J101" i="4"/>
  <c r="BK147" i="3"/>
  <c r="J147" i="3"/>
  <c r="J98" i="3"/>
  <c r="R147" i="3"/>
  <c r="T174" i="3"/>
  <c r="P195" i="3"/>
  <c r="R222" i="3"/>
  <c r="BK245" i="3"/>
  <c r="J245" i="3"/>
  <c r="J106" i="3" s="1"/>
  <c r="BK281" i="3"/>
  <c r="J281" i="3"/>
  <c r="J108" i="3" s="1"/>
  <c r="P314" i="3"/>
  <c r="T322" i="3"/>
  <c r="P327" i="3"/>
  <c r="T327" i="3"/>
  <c r="R347" i="3"/>
  <c r="BK367" i="3"/>
  <c r="J367" i="3"/>
  <c r="J116" i="3"/>
  <c r="R380" i="3"/>
  <c r="BK405" i="3"/>
  <c r="J405" i="3"/>
  <c r="J119" i="3" s="1"/>
  <c r="BK416" i="3"/>
  <c r="J416" i="3"/>
  <c r="J120" i="3" s="1"/>
  <c r="T423" i="3"/>
  <c r="BK427" i="3"/>
  <c r="J427" i="3" s="1"/>
  <c r="J123" i="3" s="1"/>
  <c r="P430" i="3"/>
  <c r="BK123" i="4"/>
  <c r="J123" i="4"/>
  <c r="J98" i="4"/>
  <c r="T123" i="4"/>
  <c r="R147" i="2"/>
  <c r="P158" i="2"/>
  <c r="P180" i="2"/>
  <c r="T180" i="2"/>
  <c r="BK223" i="2"/>
  <c r="J223" i="2" s="1"/>
  <c r="J103" i="2" s="1"/>
  <c r="P248" i="2"/>
  <c r="R264" i="2"/>
  <c r="P284" i="2"/>
  <c r="P317" i="2"/>
  <c r="R325" i="2"/>
  <c r="P330" i="2"/>
  <c r="T333" i="2"/>
  <c r="T350" i="2"/>
  <c r="BK370" i="2"/>
  <c r="J370" i="2"/>
  <c r="J116" i="2" s="1"/>
  <c r="BK383" i="2"/>
  <c r="J383" i="2"/>
  <c r="J117" i="2" s="1"/>
  <c r="P403" i="2"/>
  <c r="R410" i="2"/>
  <c r="T421" i="2"/>
  <c r="BK432" i="2"/>
  <c r="J432" i="2"/>
  <c r="J123" i="2" s="1"/>
  <c r="P435" i="2"/>
  <c r="T147" i="3"/>
  <c r="BK174" i="3"/>
  <c r="J174" i="3"/>
  <c r="J100" i="3"/>
  <c r="P179" i="3"/>
  <c r="T195" i="3"/>
  <c r="T245" i="3"/>
  <c r="R261" i="3"/>
  <c r="T314" i="3"/>
  <c r="BK330" i="3"/>
  <c r="J330" i="3" s="1"/>
  <c r="J113" i="3" s="1"/>
  <c r="BK347" i="3"/>
  <c r="J347" i="3" s="1"/>
  <c r="J114" i="3" s="1"/>
  <c r="P353" i="3"/>
  <c r="BK380" i="3"/>
  <c r="J380" i="3"/>
  <c r="J117" i="3"/>
  <c r="P398" i="3"/>
  <c r="R405" i="3"/>
  <c r="T416" i="3"/>
  <c r="R427" i="3"/>
  <c r="R430" i="3"/>
  <c r="P134" i="4"/>
  <c r="BK158" i="2"/>
  <c r="J158" i="2"/>
  <c r="J99" i="2"/>
  <c r="BK180" i="2"/>
  <c r="J180" i="2"/>
  <c r="J101" i="2"/>
  <c r="P196" i="2"/>
  <c r="P223" i="2"/>
  <c r="BK264" i="2"/>
  <c r="J264" i="2" s="1"/>
  <c r="J107" i="2" s="1"/>
  <c r="R284" i="2"/>
  <c r="T317" i="2"/>
  <c r="R333" i="2"/>
  <c r="BK356" i="2"/>
  <c r="J356" i="2" s="1"/>
  <c r="J115" i="2" s="1"/>
  <c r="P370" i="2"/>
  <c r="P383" i="2"/>
  <c r="R403" i="2"/>
  <c r="T410" i="2"/>
  <c r="P428" i="2"/>
  <c r="R435" i="2"/>
  <c r="T158" i="3"/>
  <c r="R179" i="3"/>
  <c r="T222" i="3"/>
  <c r="P245" i="3"/>
  <c r="T281" i="3"/>
  <c r="P322" i="3"/>
  <c r="T330" i="3"/>
  <c r="R367" i="3"/>
  <c r="P147" i="2"/>
  <c r="R158" i="2"/>
  <c r="P174" i="2"/>
  <c r="BK196" i="2"/>
  <c r="J196" i="2"/>
  <c r="J102" i="2" s="1"/>
  <c r="R223" i="2"/>
  <c r="T248" i="2"/>
  <c r="T284" i="2"/>
  <c r="P325" i="2"/>
  <c r="BK333" i="2"/>
  <c r="J333" i="2" s="1"/>
  <c r="J113" i="2" s="1"/>
  <c r="P350" i="2"/>
  <c r="R356" i="2"/>
  <c r="R383" i="2"/>
  <c r="BK410" i="2"/>
  <c r="J410" i="2" s="1"/>
  <c r="J119" i="2" s="1"/>
  <c r="BK421" i="2"/>
  <c r="J421" i="2" s="1"/>
  <c r="J120" i="2" s="1"/>
  <c r="T428" i="2"/>
  <c r="BK435" i="2"/>
  <c r="J435" i="2"/>
  <c r="J124" i="2"/>
  <c r="P158" i="3"/>
  <c r="P174" i="3"/>
  <c r="BK195" i="3"/>
  <c r="J195" i="3" s="1"/>
  <c r="J102" i="3" s="1"/>
  <c r="P222" i="3"/>
  <c r="BK261" i="3"/>
  <c r="J261" i="3"/>
  <c r="J107" i="3"/>
  <c r="T261" i="3"/>
  <c r="BK314" i="3"/>
  <c r="J314" i="3" s="1"/>
  <c r="J109" i="3" s="1"/>
  <c r="R322" i="3"/>
  <c r="BK327" i="3"/>
  <c r="J327" i="3" s="1"/>
  <c r="J112" i="3" s="1"/>
  <c r="R327" i="3"/>
  <c r="BK353" i="3"/>
  <c r="J353" i="3"/>
  <c r="J115" i="3"/>
  <c r="P367" i="3"/>
  <c r="T380" i="3"/>
  <c r="T398" i="3"/>
  <c r="R416" i="3"/>
  <c r="R423" i="3"/>
  <c r="T427" i="3"/>
  <c r="T426" i="3" s="1"/>
  <c r="P123" i="4"/>
  <c r="P122" i="4"/>
  <c r="P121" i="4" s="1"/>
  <c r="AU97" i="1" s="1"/>
  <c r="T134" i="4"/>
  <c r="BK435" i="3"/>
  <c r="J435" i="3"/>
  <c r="J125" i="3"/>
  <c r="BK130" i="4"/>
  <c r="J130" i="4"/>
  <c r="J99" i="4"/>
  <c r="BK132" i="4"/>
  <c r="J132" i="4"/>
  <c r="J100" i="4"/>
  <c r="BK440" i="2"/>
  <c r="J440" i="2"/>
  <c r="J125" i="2"/>
  <c r="BK245" i="2"/>
  <c r="J245" i="2"/>
  <c r="J104" i="2"/>
  <c r="BK328" i="2"/>
  <c r="J328" i="2"/>
  <c r="J111" i="2" s="1"/>
  <c r="BK242" i="3"/>
  <c r="J242" i="3"/>
  <c r="J104" i="3"/>
  <c r="BK325" i="3"/>
  <c r="J325" i="3" s="1"/>
  <c r="J111" i="3" s="1"/>
  <c r="J115" i="4"/>
  <c r="BF125" i="4"/>
  <c r="E85" i="4"/>
  <c r="BF124" i="4"/>
  <c r="BF129" i="4"/>
  <c r="BF133" i="4"/>
  <c r="BF136" i="4"/>
  <c r="BF141" i="4"/>
  <c r="BF143" i="4"/>
  <c r="BF153" i="4"/>
  <c r="BF158" i="4"/>
  <c r="BF160" i="4"/>
  <c r="BF126" i="4"/>
  <c r="BF127" i="4"/>
  <c r="BF131" i="4"/>
  <c r="BF135" i="4"/>
  <c r="BF137" i="4"/>
  <c r="BF139" i="4"/>
  <c r="BF140" i="4"/>
  <c r="BF161" i="4"/>
  <c r="BF138" i="4"/>
  <c r="BF145" i="4"/>
  <c r="BF147" i="4"/>
  <c r="BF149" i="4"/>
  <c r="BF155" i="4"/>
  <c r="BF157" i="4"/>
  <c r="BK146" i="2"/>
  <c r="J146" i="2" s="1"/>
  <c r="J97" i="2" s="1"/>
  <c r="BF155" i="3"/>
  <c r="BF165" i="3"/>
  <c r="BF169" i="3"/>
  <c r="BF191" i="3"/>
  <c r="BF194" i="3"/>
  <c r="BF201" i="3"/>
  <c r="BF215" i="3"/>
  <c r="BF226" i="3"/>
  <c r="BF227" i="3"/>
  <c r="BF239" i="3"/>
  <c r="BF252" i="3"/>
  <c r="BF259" i="3"/>
  <c r="BF262" i="3"/>
  <c r="BF268" i="3"/>
  <c r="BF274" i="3"/>
  <c r="BF278" i="3"/>
  <c r="BF282" i="3"/>
  <c r="BF288" i="3"/>
  <c r="BF300" i="3"/>
  <c r="BF308" i="3"/>
  <c r="BF310" i="3"/>
  <c r="BF319" i="3"/>
  <c r="BF332" i="3"/>
  <c r="BF335" i="3"/>
  <c r="BF338" i="3"/>
  <c r="BF341" i="3"/>
  <c r="BF343" i="3"/>
  <c r="BF344" i="3"/>
  <c r="BF345" i="3"/>
  <c r="BF346" i="3"/>
  <c r="BF348" i="3"/>
  <c r="BF351" i="3"/>
  <c r="BF352" i="3"/>
  <c r="BF378" i="3"/>
  <c r="BF396" i="3"/>
  <c r="BF400" i="3"/>
  <c r="BF404" i="3"/>
  <c r="BF407" i="3"/>
  <c r="J89" i="3"/>
  <c r="BF150" i="3"/>
  <c r="BF162" i="3"/>
  <c r="BF164" i="3"/>
  <c r="BF176" i="3"/>
  <c r="BF181" i="3"/>
  <c r="BF185" i="3"/>
  <c r="BF187" i="3"/>
  <c r="BF196" i="3"/>
  <c r="BF197" i="3"/>
  <c r="BF209" i="3"/>
  <c r="BF213" i="3"/>
  <c r="BF225" i="3"/>
  <c r="BF236" i="3"/>
  <c r="BF240" i="3"/>
  <c r="BF241" i="3"/>
  <c r="BF246" i="3"/>
  <c r="BF258" i="3"/>
  <c r="BF263" i="3"/>
  <c r="BF265" i="3"/>
  <c r="BF277" i="3"/>
  <c r="BF283" i="3"/>
  <c r="BF287" i="3"/>
  <c r="BF290" i="3"/>
  <c r="BF292" i="3"/>
  <c r="BF293" i="3"/>
  <c r="BF295" i="3"/>
  <c r="BF320" i="3"/>
  <c r="BF328" i="3"/>
  <c r="BF339" i="3"/>
  <c r="BF354" i="3"/>
  <c r="BF358" i="3"/>
  <c r="BF360" i="3"/>
  <c r="BF371" i="3"/>
  <c r="BF375" i="3"/>
  <c r="BF390" i="3"/>
  <c r="BF392" i="3"/>
  <c r="BF397" i="3"/>
  <c r="BF401" i="3"/>
  <c r="BF402" i="3"/>
  <c r="BF415" i="3"/>
  <c r="BF419" i="3"/>
  <c r="BF424" i="3"/>
  <c r="BF431" i="3"/>
  <c r="BF432" i="3"/>
  <c r="BF149" i="3"/>
  <c r="BF152" i="3"/>
  <c r="BF159" i="3"/>
  <c r="BF160" i="3"/>
  <c r="BF167" i="3"/>
  <c r="BF168" i="3"/>
  <c r="BF170" i="3"/>
  <c r="BF171" i="3"/>
  <c r="BF172" i="3"/>
  <c r="BF173" i="3"/>
  <c r="BF175" i="3"/>
  <c r="BF182" i="3"/>
  <c r="BF189" i="3"/>
  <c r="BF296" i="3"/>
  <c r="BF301" i="3"/>
  <c r="BF307" i="3"/>
  <c r="BF318" i="3"/>
  <c r="BF331" i="3"/>
  <c r="BF357" i="3"/>
  <c r="BF359" i="3"/>
  <c r="BF362" i="3"/>
  <c r="BF363" i="3"/>
  <c r="BF364" i="3"/>
  <c r="BF365" i="3"/>
  <c r="BF368" i="3"/>
  <c r="BF369" i="3"/>
  <c r="BF370" i="3"/>
  <c r="BF381" i="3"/>
  <c r="BF384" i="3"/>
  <c r="BF418" i="3"/>
  <c r="BF433" i="3"/>
  <c r="BF434" i="3"/>
  <c r="BF436" i="3"/>
  <c r="BK431" i="2"/>
  <c r="J431" i="2"/>
  <c r="J122" i="2" s="1"/>
  <c r="BF151" i="3"/>
  <c r="BF153" i="3"/>
  <c r="BF166" i="3"/>
  <c r="BF180" i="3"/>
  <c r="BF188" i="3"/>
  <c r="BF192" i="3"/>
  <c r="BF199" i="3"/>
  <c r="BF203" i="3"/>
  <c r="BF207" i="3"/>
  <c r="BF210" i="3"/>
  <c r="BF212" i="3"/>
  <c r="BF216" i="3"/>
  <c r="BF218" i="3"/>
  <c r="BF219" i="3"/>
  <c r="BF224" i="3"/>
  <c r="BF228" i="3"/>
  <c r="BF231" i="3"/>
  <c r="BF234" i="3"/>
  <c r="BF253" i="3"/>
  <c r="BF256" i="3"/>
  <c r="BF275" i="3"/>
  <c r="BF305" i="3"/>
  <c r="BF311" i="3"/>
  <c r="BF313" i="3"/>
  <c r="BF316" i="3"/>
  <c r="BF317" i="3"/>
  <c r="BF323" i="3"/>
  <c r="BF350" i="3"/>
  <c r="BF361" i="3"/>
  <c r="BF366" i="3"/>
  <c r="BF379" i="3"/>
  <c r="BF385" i="3"/>
  <c r="BF386" i="3"/>
  <c r="BF387" i="3"/>
  <c r="BF388" i="3"/>
  <c r="BF391" i="3"/>
  <c r="BF393" i="3"/>
  <c r="BF394" i="3"/>
  <c r="BF395" i="3"/>
  <c r="BF399" i="3"/>
  <c r="BF408" i="3"/>
  <c r="BF422" i="3"/>
  <c r="BF428" i="3"/>
  <c r="BF429" i="3"/>
  <c r="E85" i="3"/>
  <c r="BF154" i="3"/>
  <c r="BF156" i="3"/>
  <c r="BF157" i="3"/>
  <c r="BF163" i="3"/>
  <c r="BF177" i="3"/>
  <c r="BF183" i="3"/>
  <c r="BF186" i="3"/>
  <c r="BF193" i="3"/>
  <c r="BF198" i="3"/>
  <c r="BF202" i="3"/>
  <c r="BF205" i="3"/>
  <c r="BF206" i="3"/>
  <c r="BF217" i="3"/>
  <c r="BF221" i="3"/>
  <c r="BF229" i="3"/>
  <c r="BF232" i="3"/>
  <c r="BF237" i="3"/>
  <c r="BF238" i="3"/>
  <c r="BF249" i="3"/>
  <c r="BF255" i="3"/>
  <c r="BF260" i="3"/>
  <c r="BF272" i="3"/>
  <c r="BF285" i="3"/>
  <c r="BF303" i="3"/>
  <c r="BF326" i="3"/>
  <c r="BF333" i="3"/>
  <c r="BF334" i="3"/>
  <c r="BF342" i="3"/>
  <c r="BF349" i="3"/>
  <c r="BF355" i="3"/>
  <c r="BF383" i="3"/>
  <c r="BF406" i="3"/>
  <c r="BF409" i="3"/>
  <c r="BF410" i="3"/>
  <c r="BF425" i="3"/>
  <c r="BF148" i="3"/>
  <c r="BF161" i="3"/>
  <c r="BF178" i="3"/>
  <c r="BF184" i="3"/>
  <c r="BF190" i="3"/>
  <c r="BF200" i="3"/>
  <c r="BF220" i="3"/>
  <c r="BF223" i="3"/>
  <c r="BF230" i="3"/>
  <c r="BF233" i="3"/>
  <c r="BF235" i="3"/>
  <c r="BF243" i="3"/>
  <c r="BF247" i="3"/>
  <c r="BF250" i="3"/>
  <c r="BF266" i="3"/>
  <c r="BF269" i="3"/>
  <c r="BF271" i="3"/>
  <c r="BF280" i="3"/>
  <c r="BF298" i="3"/>
  <c r="BF315" i="3"/>
  <c r="BF321" i="3"/>
  <c r="BF324" i="3"/>
  <c r="BF329" i="3"/>
  <c r="BF336" i="3"/>
  <c r="BF337" i="3"/>
  <c r="BF340" i="3"/>
  <c r="BF356" i="3"/>
  <c r="BF372" i="3"/>
  <c r="BF373" i="3"/>
  <c r="BF374" i="3"/>
  <c r="BF376" i="3"/>
  <c r="BF382" i="3"/>
  <c r="BF389" i="3"/>
  <c r="BF412" i="3"/>
  <c r="BF413" i="3"/>
  <c r="BF417" i="3"/>
  <c r="BF421" i="3"/>
  <c r="BF162" i="2"/>
  <c r="BF164" i="2"/>
  <c r="BF170" i="2"/>
  <c r="BF175" i="2"/>
  <c r="BF176" i="2"/>
  <c r="BF187" i="2"/>
  <c r="BF188" i="2"/>
  <c r="BF221" i="2"/>
  <c r="BF236" i="2"/>
  <c r="BF237" i="2"/>
  <c r="BF238" i="2"/>
  <c r="BF239" i="2"/>
  <c r="BF243" i="2"/>
  <c r="BF265" i="2"/>
  <c r="BF266" i="2"/>
  <c r="BF281" i="2"/>
  <c r="BF288" i="2"/>
  <c r="BF298" i="2"/>
  <c r="BF301" i="2"/>
  <c r="BF314" i="2"/>
  <c r="BF318" i="2"/>
  <c r="BF324" i="2"/>
  <c r="BF326" i="2"/>
  <c r="BF332" i="2"/>
  <c r="BF334" i="2"/>
  <c r="BF337" i="2"/>
  <c r="BF338" i="2"/>
  <c r="BF343" i="2"/>
  <c r="BF345" i="2"/>
  <c r="BF347" i="2"/>
  <c r="BF349" i="2"/>
  <c r="BF351" i="2"/>
  <c r="BF352" i="2"/>
  <c r="BF354" i="2"/>
  <c r="BF357" i="2"/>
  <c r="BF358" i="2"/>
  <c r="BF360" i="2"/>
  <c r="BF361" i="2"/>
  <c r="BF365" i="2"/>
  <c r="BF366" i="2"/>
  <c r="BF369" i="2"/>
  <c r="BF379" i="2"/>
  <c r="BF385" i="2"/>
  <c r="BF386" i="2"/>
  <c r="BF387" i="2"/>
  <c r="BF388" i="2"/>
  <c r="BF390" i="2"/>
  <c r="BF391" i="2"/>
  <c r="BF392" i="2"/>
  <c r="BF396" i="2"/>
  <c r="BF398" i="2"/>
  <c r="BF400" i="2"/>
  <c r="BF401" i="2"/>
  <c r="BF402" i="2"/>
  <c r="BF407" i="2"/>
  <c r="BF422" i="2"/>
  <c r="BF430" i="2"/>
  <c r="E85" i="2"/>
  <c r="BF163" i="2"/>
  <c r="BF177" i="2"/>
  <c r="BF181" i="2"/>
  <c r="BF214" i="2"/>
  <c r="BF222" i="2"/>
  <c r="BF226" i="2"/>
  <c r="BF227" i="2"/>
  <c r="BF235" i="2"/>
  <c r="BF249" i="2"/>
  <c r="BF256" i="2"/>
  <c r="BF258" i="2"/>
  <c r="BF261" i="2"/>
  <c r="BF262" i="2"/>
  <c r="BF274" i="2"/>
  <c r="BF285" i="2"/>
  <c r="BF286" i="2"/>
  <c r="BF433" i="2"/>
  <c r="BF434" i="2"/>
  <c r="BF437" i="2"/>
  <c r="BF438" i="2"/>
  <c r="BF439" i="2"/>
  <c r="J89" i="2"/>
  <c r="BF150" i="2"/>
  <c r="BF159" i="2"/>
  <c r="BF182" i="2"/>
  <c r="BF184" i="2"/>
  <c r="BF186" i="2"/>
  <c r="BF189" i="2"/>
  <c r="BF190" i="2"/>
  <c r="BF191" i="2"/>
  <c r="BF208" i="2"/>
  <c r="BF210" i="2"/>
  <c r="BF233" i="2"/>
  <c r="BF242" i="2"/>
  <c r="BF252" i="2"/>
  <c r="BF253" i="2"/>
  <c r="BF259" i="2"/>
  <c r="BF263" i="2"/>
  <c r="BF268" i="2"/>
  <c r="BF271" i="2"/>
  <c r="BF272" i="2"/>
  <c r="BF275" i="2"/>
  <c r="BF277" i="2"/>
  <c r="BF283" i="2"/>
  <c r="BF299" i="2"/>
  <c r="BF149" i="2"/>
  <c r="BF154" i="2"/>
  <c r="BF155" i="2"/>
  <c r="BF160" i="2"/>
  <c r="BF161" i="2"/>
  <c r="BF166" i="2"/>
  <c r="BF173" i="2"/>
  <c r="BF178" i="2"/>
  <c r="BF179" i="2"/>
  <c r="BF183" i="2"/>
  <c r="BF192" i="2"/>
  <c r="BF193" i="2"/>
  <c r="BF194" i="2"/>
  <c r="BF201" i="2"/>
  <c r="BF202" i="2"/>
  <c r="BF203" i="2"/>
  <c r="BF207" i="2"/>
  <c r="BF211" i="2"/>
  <c r="BF213" i="2"/>
  <c r="BF216" i="2"/>
  <c r="BF225" i="2"/>
  <c r="BF230" i="2"/>
  <c r="BF231" i="2"/>
  <c r="BF255" i="2"/>
  <c r="BF278" i="2"/>
  <c r="BF293" i="2"/>
  <c r="BF308" i="2"/>
  <c r="BF310" i="2"/>
  <c r="BF311" i="2"/>
  <c r="BF316" i="2"/>
  <c r="BF321" i="2"/>
  <c r="BF322" i="2"/>
  <c r="BF327" i="2"/>
  <c r="BF335" i="2"/>
  <c r="BF340" i="2"/>
  <c r="BF341" i="2"/>
  <c r="BF342" i="2"/>
  <c r="BF353" i="2"/>
  <c r="BF355" i="2"/>
  <c r="BF362" i="2"/>
  <c r="BF363" i="2"/>
  <c r="BF364" i="2"/>
  <c r="BF367" i="2"/>
  <c r="BF372" i="2"/>
  <c r="BF374" i="2"/>
  <c r="BF377" i="2"/>
  <c r="BF381" i="2"/>
  <c r="BF394" i="2"/>
  <c r="BF397" i="2"/>
  <c r="BF404" i="2"/>
  <c r="BF405" i="2"/>
  <c r="BF406" i="2"/>
  <c r="BF409" i="2"/>
  <c r="BF411" i="2"/>
  <c r="BF412" i="2"/>
  <c r="BF413" i="2"/>
  <c r="BF414" i="2"/>
  <c r="BF415" i="2"/>
  <c r="BF417" i="2"/>
  <c r="BF157" i="2"/>
  <c r="BF168" i="2"/>
  <c r="BF169" i="2"/>
  <c r="BF171" i="2"/>
  <c r="BF172" i="2"/>
  <c r="BF185" i="2"/>
  <c r="BF198" i="2"/>
  <c r="BF199" i="2"/>
  <c r="BF206" i="2"/>
  <c r="BF217" i="2"/>
  <c r="BF218" i="2"/>
  <c r="BF219" i="2"/>
  <c r="BF228" i="2"/>
  <c r="BF229" i="2"/>
  <c r="BF232" i="2"/>
  <c r="BF234" i="2"/>
  <c r="BF280" i="2"/>
  <c r="BF291" i="2"/>
  <c r="BF296" i="2"/>
  <c r="BF441" i="2"/>
  <c r="BF148" i="2"/>
  <c r="BF151" i="2"/>
  <c r="BF152" i="2"/>
  <c r="BF153" i="2"/>
  <c r="BF156" i="2"/>
  <c r="BF165" i="2"/>
  <c r="BF167" i="2"/>
  <c r="BF195" i="2"/>
  <c r="BF197" i="2"/>
  <c r="BF200" i="2"/>
  <c r="BF204" i="2"/>
  <c r="BF220" i="2"/>
  <c r="BF224" i="2"/>
  <c r="BF240" i="2"/>
  <c r="BF241" i="2"/>
  <c r="BF246" i="2"/>
  <c r="BF250" i="2"/>
  <c r="BF269" i="2"/>
  <c r="BF290" i="2"/>
  <c r="BF295" i="2"/>
  <c r="BF303" i="2"/>
  <c r="BF304" i="2"/>
  <c r="BF306" i="2"/>
  <c r="BF313" i="2"/>
  <c r="BF319" i="2"/>
  <c r="BF320" i="2"/>
  <c r="BF323" i="2"/>
  <c r="BF329" i="2"/>
  <c r="BF331" i="2"/>
  <c r="BF336" i="2"/>
  <c r="BF339" i="2"/>
  <c r="BF344" i="2"/>
  <c r="BF346" i="2"/>
  <c r="BF348" i="2"/>
  <c r="BF359" i="2"/>
  <c r="BF368" i="2"/>
  <c r="BF371" i="2"/>
  <c r="BF373" i="2"/>
  <c r="BF375" i="2"/>
  <c r="BF376" i="2"/>
  <c r="BF378" i="2"/>
  <c r="BF382" i="2"/>
  <c r="BF384" i="2"/>
  <c r="BF389" i="2"/>
  <c r="BF393" i="2"/>
  <c r="BF418" i="2"/>
  <c r="BF420" i="2"/>
  <c r="BF423" i="2"/>
  <c r="BF424" i="2"/>
  <c r="BF426" i="2"/>
  <c r="BF427" i="2"/>
  <c r="BF429" i="2"/>
  <c r="BF436" i="2"/>
  <c r="F35" i="2"/>
  <c r="BB95" i="1" s="1"/>
  <c r="F35" i="3"/>
  <c r="BB96" i="1" s="1"/>
  <c r="J33" i="4"/>
  <c r="AV97" i="1" s="1"/>
  <c r="F36" i="2"/>
  <c r="BC95" i="1" s="1"/>
  <c r="J33" i="3"/>
  <c r="AV96" i="1" s="1"/>
  <c r="F35" i="4"/>
  <c r="BB97" i="1" s="1"/>
  <c r="F36" i="3"/>
  <c r="BC96" i="1" s="1"/>
  <c r="F37" i="2"/>
  <c r="BD95" i="1" s="1"/>
  <c r="J33" i="2"/>
  <c r="AV95" i="1" s="1"/>
  <c r="F33" i="3"/>
  <c r="AZ96" i="1" s="1"/>
  <c r="F36" i="4"/>
  <c r="BC97" i="1"/>
  <c r="F33" i="2"/>
  <c r="AZ95" i="1" s="1"/>
  <c r="F37" i="3"/>
  <c r="BD96" i="1" s="1"/>
  <c r="F33" i="4"/>
  <c r="AZ97" i="1"/>
  <c r="F37" i="4"/>
  <c r="BD97" i="1" s="1"/>
  <c r="BK244" i="3" l="1"/>
  <c r="J244" i="3" s="1"/>
  <c r="J105" i="3" s="1"/>
  <c r="P247" i="2"/>
  <c r="T122" i="4"/>
  <c r="T121" i="4"/>
  <c r="R247" i="2"/>
  <c r="R431" i="2"/>
  <c r="R145" i="2" s="1"/>
  <c r="P146" i="2"/>
  <c r="T146" i="3"/>
  <c r="R146" i="3"/>
  <c r="R244" i="3"/>
  <c r="P426" i="3"/>
  <c r="T247" i="2"/>
  <c r="T145" i="2" s="1"/>
  <c r="T244" i="3"/>
  <c r="T145" i="3" s="1"/>
  <c r="R146" i="2"/>
  <c r="P146" i="3"/>
  <c r="T431" i="2"/>
  <c r="T146" i="2"/>
  <c r="P244" i="3"/>
  <c r="R426" i="3"/>
  <c r="P431" i="2"/>
  <c r="BK426" i="3"/>
  <c r="J426" i="3"/>
  <c r="J122" i="3"/>
  <c r="BK122" i="4"/>
  <c r="J122" i="4"/>
  <c r="J97" i="4"/>
  <c r="BK146" i="3"/>
  <c r="J146" i="3"/>
  <c r="J97" i="3"/>
  <c r="BK247" i="2"/>
  <c r="J247" i="2" s="1"/>
  <c r="J105" i="2" s="1"/>
  <c r="BC94" i="1"/>
  <c r="AY94" i="1" s="1"/>
  <c r="F34" i="4"/>
  <c r="BA97" i="1" s="1"/>
  <c r="F34" i="2"/>
  <c r="BA95" i="1" s="1"/>
  <c r="J34" i="2"/>
  <c r="AW95" i="1" s="1"/>
  <c r="AT95" i="1" s="1"/>
  <c r="J34" i="3"/>
  <c r="AW96" i="1" s="1"/>
  <c r="AT96" i="1" s="1"/>
  <c r="BD94" i="1"/>
  <c r="W33" i="1" s="1"/>
  <c r="AZ94" i="1"/>
  <c r="W29" i="1" s="1"/>
  <c r="BB94" i="1"/>
  <c r="W31" i="1" s="1"/>
  <c r="J34" i="4"/>
  <c r="AW97" i="1"/>
  <c r="AT97" i="1"/>
  <c r="F34" i="3"/>
  <c r="BA96" i="1" s="1"/>
  <c r="P145" i="2" l="1"/>
  <c r="AU95" i="1"/>
  <c r="P145" i="3"/>
  <c r="AU96" i="1" s="1"/>
  <c r="R145" i="3"/>
  <c r="BK145" i="3"/>
  <c r="J145" i="3" s="1"/>
  <c r="BK145" i="2"/>
  <c r="J145" i="2" s="1"/>
  <c r="J30" i="2" s="1"/>
  <c r="AG95" i="1" s="1"/>
  <c r="BK121" i="4"/>
  <c r="J121" i="4" s="1"/>
  <c r="J96" i="4" s="1"/>
  <c r="AV94" i="1"/>
  <c r="AK29" i="1" s="1"/>
  <c r="W32" i="1"/>
  <c r="BA94" i="1"/>
  <c r="AW94" i="1" s="1"/>
  <c r="AK30" i="1" s="1"/>
  <c r="AX94" i="1"/>
  <c r="J96" i="2" l="1"/>
  <c r="J30" i="3"/>
  <c r="AG96" i="1" s="1"/>
  <c r="AN96" i="1" s="1"/>
  <c r="J96" i="3"/>
  <c r="J39" i="2"/>
  <c r="AN95" i="1"/>
  <c r="J30" i="4"/>
  <c r="AG97" i="1"/>
  <c r="AU94" i="1"/>
  <c r="W30" i="1"/>
  <c r="AT94" i="1"/>
  <c r="AG94" i="1" l="1"/>
  <c r="AK26" i="1" s="1"/>
  <c r="AK35" i="1" s="1"/>
  <c r="J39" i="3"/>
  <c r="J39" i="4"/>
  <c r="AN97" i="1"/>
  <c r="AN94" i="1" l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A1A7DA22-490E-4D25-AD18-6345D3FEB5CD}" name="Rozpočet113181211131" type="6" refreshedVersion="0" background="1" saveData="1">
    <textPr fileType="dos" firstRow="14" sourceFile="D:\Rozpočty\Rozpočet1.txt" delimited="0" thousands=" ">
      <textFields count="7">
        <textField type="skip"/>
        <textField type="skip" position="1"/>
        <textField position="25"/>
        <textField position="70"/>
        <textField position="75"/>
        <textField position="87"/>
        <textField position="99"/>
      </textFields>
    </textPr>
  </connection>
  <connection id="2" xr16:uid="{197B7C49-43FE-43D6-8FC4-634A6A0FF235}" name="Rozpočet11318121121" type="6" refreshedVersion="0" background="1" saveData="1">
    <textPr fileType="dos" firstRow="14" sourceFile="D:\Rozpočty\Rozpočet1.txt" delimited="0" thousands=" ">
      <textFields count="7">
        <textField type="skip"/>
        <textField type="skip" position="1"/>
        <textField position="25"/>
        <textField position="70"/>
        <textField position="75"/>
        <textField position="87"/>
        <textField position="99"/>
      </textFields>
    </textPr>
  </connection>
  <connection id="3" xr16:uid="{FA2616EF-4BE5-4BB8-81AC-C66FBF8CF847}" name="Rozpočet11318121231" type="6" refreshedVersion="0" background="1" saveData="1">
    <textPr fileType="dos" firstRow="14" sourceFile="D:\Rozpočty\Rozpočet1.txt" delimited="0" thousands=" ">
      <textFields count="7">
        <textField type="skip"/>
        <textField type="skip" position="1"/>
        <textField position="25"/>
        <textField position="70"/>
        <textField position="75"/>
        <textField position="87"/>
        <textField position="99"/>
      </textFields>
    </textPr>
  </connection>
  <connection id="4" xr16:uid="{C00B4E84-6719-4EE4-857A-0FF136E86F1E}" name="Rozpočet1131812131" type="6" refreshedVersion="0" background="1" saveData="1">
    <textPr fileType="dos" firstRow="14" sourceFile="D:\Rozpočty\Rozpočet1.txt" delimited="0" thousands=" ">
      <textFields count="7">
        <textField type="skip"/>
        <textField type="skip" position="1"/>
        <textField position="25"/>
        <textField position="70"/>
        <textField position="75"/>
        <textField position="87"/>
        <textField position="99"/>
      </textFields>
    </textPr>
  </connection>
  <connection id="5" xr16:uid="{4582212C-0ECA-4E68-AFAD-AB5730416A40}" name="Rozpočet1131812231" type="6" refreshedVersion="0" background="1" saveData="1">
    <textPr fileType="dos" firstRow="14" sourceFile="D:\Rozpočty\Rozpočet1.txt" delimited="0" thousands=" ">
      <textFields count="7">
        <textField type="skip"/>
        <textField type="skip" position="1"/>
        <textField position="25"/>
        <textField position="70"/>
        <textField position="75"/>
        <textField position="87"/>
        <textField position="99"/>
      </textFields>
    </textPr>
  </connection>
  <connection id="6" xr16:uid="{54F38BA0-095B-4121-A106-A00B7C7FD572}" name="Rozpočet113181231" type="6" refreshedVersion="0" background="1" saveData="1">
    <textPr fileType="dos" firstRow="14" sourceFile="D:\Rozpočty\Rozpočet1.txt" delimited="0" thousands=" ">
      <textFields count="7">
        <textField type="skip"/>
        <textField type="skip" position="1"/>
        <textField position="25"/>
        <textField position="70"/>
        <textField position="75"/>
        <textField position="87"/>
        <textField position="99"/>
      </textFields>
    </textPr>
  </connection>
  <connection id="7" xr16:uid="{E5C6FFDA-B71A-415D-93FF-03338DA7FD29}" name="Rozpočet113181331" type="6" refreshedVersion="0" background="1" saveData="1">
    <textPr fileType="dos" firstRow="14" sourceFile="D:\Rozpočty\Rozpočet1.txt" delimited="0" thousands=" ">
      <textFields count="7">
        <textField type="skip"/>
        <textField type="skip" position="1"/>
        <textField position="25"/>
        <textField position="70"/>
        <textField position="75"/>
        <textField position="87"/>
        <textField position="99"/>
      </textFields>
    </textPr>
  </connection>
  <connection id="8" xr16:uid="{D3A199C9-6C81-44F7-9153-379F10951DD3}" name="Rozpočet11318141" type="6" refreshedVersion="0" background="1" saveData="1">
    <textPr fileType="dos" firstRow="14" sourceFile="D:\Rozpočty\Rozpočet1.txt" delimited="0" thousands=" ">
      <textFields count="7">
        <textField type="skip"/>
        <textField type="skip" position="1"/>
        <textField position="25"/>
        <textField position="70"/>
        <textField position="75"/>
        <textField position="87"/>
        <textField position="99"/>
      </textFields>
    </textPr>
  </connection>
  <connection id="9" xr16:uid="{686D3CA7-9FC8-46E9-80F6-DE3B2D2710F6}" name="Rozpočet11318142111" type="6" refreshedVersion="0" background="1" saveData="1">
    <textPr fileType="dos" firstRow="14" sourceFile="D:\Rozpočty\Rozpočet1.txt" delimited="0" thousands=" ">
      <textFields count="7">
        <textField type="skip"/>
        <textField type="skip" position="1"/>
        <textField position="25"/>
        <textField position="70"/>
        <textField position="75"/>
        <textField position="87"/>
        <textField position="99"/>
      </textFields>
    </textPr>
  </connection>
  <connection id="10" xr16:uid="{F2686BF0-AB9A-4A91-8C1E-FFFE14321B2D}" name="Rozpočet1131814212" type="6" refreshedVersion="0" background="1" saveData="1">
    <textPr fileType="dos" firstRow="14" sourceFile="D:\Rozpočty\Rozpočet1.txt" delimited="0" thousands=" ">
      <textFields count="7">
        <textField type="skip"/>
        <textField type="skip" position="1"/>
        <textField position="25"/>
        <textField position="70"/>
        <textField position="75"/>
        <textField position="87"/>
        <textField position="99"/>
      </textFields>
    </textPr>
  </connection>
  <connection id="11" xr16:uid="{12331615-CE88-40C6-8576-E95817D5F8DC}" name="Rozpočet1131814221" type="6" refreshedVersion="0" background="1" saveData="1">
    <textPr fileType="dos" firstRow="14" sourceFile="D:\Rozpočty\Rozpočet1.txt" delimited="0" thousands=" ">
      <textFields count="7">
        <textField type="skip"/>
        <textField type="skip" position="1"/>
        <textField position="25"/>
        <textField position="70"/>
        <textField position="75"/>
        <textField position="87"/>
        <textField position="99"/>
      </textFields>
    </textPr>
  </connection>
  <connection id="12" xr16:uid="{0009DB04-5702-4560-9C15-E07441BED3F8}" name="Rozpočet113181423" type="6" refreshedVersion="0" background="1" saveData="1">
    <textPr fileType="dos" firstRow="14" sourceFile="D:\Rozpočty\Rozpočet1.txt" delimited="0" thousands=" ">
      <textFields count="7">
        <textField type="skip"/>
        <textField type="skip" position="1"/>
        <textField position="25"/>
        <textField position="70"/>
        <textField position="75"/>
        <textField position="87"/>
        <textField position="99"/>
      </textFields>
    </textPr>
  </connection>
  <connection id="13" xr16:uid="{80754111-0631-4276-A528-A43155250078}" name="Rozpočet1211117111" type="6" refreshedVersion="0" background="1" saveData="1">
    <textPr fileType="dos" firstRow="14" sourceFile="D:\Rozpočty\Rozpočet1.txt" delimited="0" thousands=" ">
      <textFields count="7">
        <textField type="skip"/>
        <textField type="skip" position="1"/>
        <textField position="25"/>
        <textField position="70"/>
        <textField position="75"/>
        <textField position="87"/>
        <textField position="99"/>
      </textFields>
    </textPr>
  </connection>
  <connection id="14" xr16:uid="{306ED800-777E-4E1A-BA4E-9053AC54FE8D}" name="Rozpočet1211117131" type="6" refreshedVersion="0" background="1" saveData="1">
    <textPr fileType="dos" firstRow="14" sourceFile="D:\Rozpočty\Rozpočet1.txt" delimited="0" thousands=" ">
      <textFields count="7">
        <textField type="skip"/>
        <textField type="skip" position="1"/>
        <textField position="25"/>
        <textField position="70"/>
        <textField position="75"/>
        <textField position="87"/>
        <textField position="99"/>
      </textFields>
    </textPr>
  </connection>
  <connection id="15" xr16:uid="{7B1559B7-3B8B-4A00-9FC4-8B1378276BE3}" name="Rozpočet1211211" type="6" refreshedVersion="0" background="1" saveData="1">
    <textPr fileType="dos" firstRow="14" sourceFile="D:\Rozpočty\Rozpočet1.txt" delimited="0" thousands=" ">
      <textFields count="7">
        <textField type="skip"/>
        <textField type="skip" position="1"/>
        <textField position="25"/>
        <textField position="70"/>
        <textField position="75"/>
        <textField position="87"/>
        <textField position="99"/>
      </textFields>
    </textPr>
  </connection>
  <connection id="16" xr16:uid="{F73E3A07-9DEE-4DCA-9AA9-39C2C5CFCAF2}" name="Rozpočet121121211" type="6" refreshedVersion="0" background="1" saveData="1">
    <textPr fileType="dos" firstRow="14" sourceFile="D:\Rozpočty\Rozpočet1.txt" delimited="0" thousands=" ">
      <textFields count="7">
        <textField type="skip"/>
        <textField type="skip" position="1"/>
        <textField position="25"/>
        <textField position="70"/>
        <textField position="75"/>
        <textField position="87"/>
        <textField position="99"/>
      </textFields>
    </textPr>
  </connection>
  <connection id="17" xr16:uid="{203AFB41-BF54-4A48-8A17-10E68FCF5047}" name="Rozpočet12112122" type="6" refreshedVersion="0" background="1" saveData="1">
    <textPr fileType="dos" firstRow="14" sourceFile="D:\Rozpočty\Rozpočet1.txt" delimited="0" thousands=" ">
      <textFields count="7">
        <textField type="skip"/>
        <textField type="skip" position="1"/>
        <textField position="25"/>
        <textField position="70"/>
        <textField position="75"/>
        <textField position="87"/>
        <textField position="99"/>
      </textFields>
    </textPr>
  </connection>
  <connection id="18" xr16:uid="{A7F14A2F-2E4D-4125-B262-5E52BF6F1BA5}" name="Rozpočet1211231" type="6" refreshedVersion="0" background="1" saveData="1">
    <textPr fileType="dos" firstRow="14" sourceFile="D:\Rozpočty\Rozpočet1.txt" delimited="0" thousands=" ">
      <textFields count="7">
        <textField type="skip"/>
        <textField type="skip" position="1"/>
        <textField position="25"/>
        <textField position="70"/>
        <textField position="75"/>
        <textField position="87"/>
        <textField position="99"/>
      </textFields>
    </textPr>
  </connection>
  <connection id="19" xr16:uid="{6BC880D7-4F5F-4913-A4BE-A1C183E83B0C}" name="Rozpočet121227111" type="6" refreshedVersion="0" background="1" saveData="1">
    <textPr fileType="dos" firstRow="14" sourceFile="D:\Rozpočty\Rozpočet1.txt" delimited="0" thousands=" ">
      <textFields count="7">
        <textField type="skip"/>
        <textField type="skip" position="1"/>
        <textField position="25"/>
        <textField position="70"/>
        <textField position="75"/>
        <textField position="87"/>
        <textField position="99"/>
      </textFields>
    </textPr>
  </connection>
  <connection id="20" xr16:uid="{01EBD2B7-60BF-42D5-A76B-4BDD3651C5DE}" name="Rozpočet121227131" type="6" refreshedVersion="0" background="1" saveData="1">
    <textPr fileType="dos" firstRow="14" sourceFile="D:\Rozpočty\Rozpočet1.txt" delimited="0" thousands=" ">
      <textFields count="7">
        <textField type="skip"/>
        <textField type="skip" position="1"/>
        <textField position="25"/>
        <textField position="70"/>
        <textField position="75"/>
        <textField position="87"/>
        <textField position="99"/>
      </textFields>
    </textPr>
  </connection>
  <connection id="21" xr16:uid="{719D9E29-22C3-4F07-AED4-EF0079EA24FA}" name="Rozpočet122137121" type="6" refreshedVersion="0" background="1" saveData="1">
    <textPr fileType="dos" firstRow="14" sourceFile="D:\Rozpočty\Rozpočet1.txt" delimited="0" thousands=" ">
      <textFields count="7">
        <textField type="skip"/>
        <textField type="skip" position="1"/>
        <textField position="25"/>
        <textField position="70"/>
        <textField position="75"/>
        <textField position="87"/>
        <textField position="99"/>
      </textFields>
    </textPr>
  </connection>
  <connection id="22" xr16:uid="{56BE5ECA-4526-41FF-AF68-8DD4D3EAC9C0}" name="Rozpočet122137141" type="6" refreshedVersion="0" background="1" saveData="1">
    <textPr fileType="dos" firstRow="14" sourceFile="D:\Rozpočty\Rozpočet1.txt" delimited="0" thousands=" ">
      <textFields count="7">
        <textField type="skip"/>
        <textField type="skip" position="1"/>
        <textField position="25"/>
        <textField position="70"/>
        <textField position="75"/>
        <textField position="87"/>
        <textField position="99"/>
      </textFields>
    </textPr>
  </connection>
  <connection id="23" xr16:uid="{9562C13E-43DC-4D1B-BBFB-50CD6EABD982}" name="Rozpočet1247111" type="6" refreshedVersion="0" background="1" saveData="1">
    <textPr fileType="dos" firstRow="14" sourceFile="D:\Rozpočty\Rozpočet1.txt" delimited="0" thousands=" ">
      <textFields count="7">
        <textField type="skip"/>
        <textField type="skip" position="1"/>
        <textField position="25"/>
        <textField position="70"/>
        <textField position="75"/>
        <textField position="87"/>
        <textField position="99"/>
      </textFields>
    </textPr>
  </connection>
  <connection id="24" xr16:uid="{E058C370-7B2C-4AFC-BFF9-F68ADD12054F}" name="Rozpočet1247131" type="6" refreshedVersion="0" background="1" saveData="1">
    <textPr fileType="dos" firstRow="14" sourceFile="D:\Rozpočty\Rozpočet1.txt" delimited="0" thousands=" ">
      <textFields count="7">
        <textField type="skip"/>
        <textField type="skip" position="1"/>
        <textField position="25"/>
        <textField position="70"/>
        <textField position="75"/>
        <textField position="87"/>
        <textField position="99"/>
      </textFields>
    </textPr>
  </connection>
  <connection id="25" xr16:uid="{20CC59C7-E3F0-46D9-86A8-8AE6D0133FCE}" name="Rozpočet1311112411121" type="6" refreshedVersion="0" background="1" saveData="1">
    <textPr fileType="dos" firstRow="14" sourceFile="D:\Rozpočty\Rozpočet1.txt" delimited="0" thousands=" ">
      <textFields count="7">
        <textField type="skip"/>
        <textField type="skip" position="1"/>
        <textField position="25"/>
        <textField position="70"/>
        <textField position="75"/>
        <textField position="87"/>
        <textField position="99"/>
      </textFields>
    </textPr>
  </connection>
  <connection id="26" xr16:uid="{56C2FA20-184C-4AA7-B241-03286B132907}" name="Rozpočet1311112411141" type="6" refreshedVersion="0" background="1" saveData="1">
    <textPr fileType="dos" firstRow="14" sourceFile="D:\Rozpočty\Rozpočet1.txt" delimited="0" thousands=" ">
      <textFields count="7">
        <textField type="skip"/>
        <textField type="skip" position="1"/>
        <textField position="25"/>
        <textField position="70"/>
        <textField position="75"/>
        <textField position="87"/>
        <textField position="99"/>
      </textFields>
    </textPr>
  </connection>
  <connection id="27" xr16:uid="{38ACC86A-A6A6-402D-A1C2-00E3742E51EB}" name="Rozpočet1311121321211" type="6" refreshedVersion="0" background="1" saveData="1">
    <textPr fileType="dos" firstRow="14" sourceFile="D:\Rozpočty\Rozpočet1.txt" delimited="0" thousands=" ">
      <textFields count="7">
        <textField type="skip"/>
        <textField type="skip" position="1"/>
        <textField position="25"/>
        <textField position="70"/>
        <textField position="75"/>
        <textField position="87"/>
        <textField position="99"/>
      </textFields>
    </textPr>
  </connection>
  <connection id="28" xr16:uid="{4354BCA6-3093-4B10-A31E-023583091995}" name="Rozpočet1311121321231" type="6" refreshedVersion="0" background="1" saveData="1">
    <textPr fileType="dos" firstRow="14" sourceFile="D:\Rozpočty\Rozpočet1.txt" delimited="0" thousands=" ">
      <textFields count="7">
        <textField type="skip"/>
        <textField type="skip" position="1"/>
        <textField position="25"/>
        <textField position="70"/>
        <textField position="75"/>
        <textField position="87"/>
        <textField position="99"/>
      </textFields>
    </textPr>
  </connection>
  <connection id="29" xr16:uid="{4CEC72C7-D090-4AC4-9C9D-CF5C6648DFC5}" name="Rozpočet131112132131" type="6" refreshedVersion="0" background="1" saveData="1">
    <textPr fileType="dos" firstRow="14" sourceFile="D:\Rozpočty\Rozpočet1.txt" delimited="0" thousands=" ">
      <textFields count="7">
        <textField type="skip"/>
        <textField type="skip" position="1"/>
        <textField position="25"/>
        <textField position="70"/>
        <textField position="75"/>
        <textField position="87"/>
        <textField position="99"/>
      </textFields>
    </textPr>
  </connection>
  <connection id="30" xr16:uid="{AA0BC803-4218-48AD-8F5B-286628693D32}" name="Rozpočet131112132151" type="6" refreshedVersion="0" background="1" saveData="1">
    <textPr fileType="dos" firstRow="14" sourceFile="D:\Rozpočty\Rozpočet1.txt" delimited="0" thousands=" ">
      <textFields count="7">
        <textField type="skip"/>
        <textField type="skip" position="1"/>
        <textField position="25"/>
        <textField position="70"/>
        <textField position="75"/>
        <textField position="87"/>
        <textField position="99"/>
      </textFields>
    </textPr>
  </connection>
  <connection id="31" xr16:uid="{554BB58E-C46E-4F61-B670-3D8DA7134663}" name="Rozpočet1328111" type="6" refreshedVersion="0" background="1" saveData="1">
    <textPr fileType="dos" firstRow="14" sourceFile="D:\Rozpočty\Rozpočet1.txt" delimited="0" thousands=" ">
      <textFields count="7">
        <textField type="skip"/>
        <textField type="skip" position="1"/>
        <textField position="25"/>
        <textField position="70"/>
        <textField position="75"/>
        <textField position="87"/>
        <textField position="99"/>
      </textFields>
    </textPr>
  </connection>
  <connection id="32" xr16:uid="{02CD07F6-971E-401A-873C-351CCADF6530}" name="Rozpočet1328131" type="6" refreshedVersion="0" background="1" saveData="1">
    <textPr fileType="dos" firstRow="14" sourceFile="D:\Rozpočty\Rozpočet1.txt" delimited="0" thousands=" ">
      <textFields count="7">
        <textField type="skip"/>
        <textField type="skip" position="1"/>
        <textField position="25"/>
        <textField position="70"/>
        <textField position="75"/>
        <textField position="87"/>
        <textField position="99"/>
      </textFields>
    </textPr>
  </connection>
  <connection id="33" xr16:uid="{8AEA0B57-79E7-474C-8A03-7577A7A771CA}" name="Rozpočet16527111" type="6" refreshedVersion="0" background="1" saveData="1">
    <textPr fileType="dos" firstRow="14" sourceFile="D:\Rozpočty\Rozpočet1.txt" delimited="0" thousands=" ">
      <textFields count="7">
        <textField type="skip"/>
        <textField type="skip" position="1"/>
        <textField position="25"/>
        <textField position="70"/>
        <textField position="75"/>
        <textField position="87"/>
        <textField position="99"/>
      </textFields>
    </textPr>
  </connection>
  <connection id="34" xr16:uid="{0A84B83F-CB98-434C-84CF-1C605AB0281E}" name="Rozpočet16527131" type="6" refreshedVersion="0" background="1" saveData="1">
    <textPr fileType="dos" firstRow="14" sourceFile="D:\Rozpočty\Rozpočet1.txt" delimited="0" thousands=" ">
      <textFields count="7">
        <textField type="skip"/>
        <textField type="skip" position="1"/>
        <textField position="25"/>
        <textField position="70"/>
        <textField position="75"/>
        <textField position="87"/>
        <textField position="99"/>
      </textFields>
    </textPr>
  </connection>
</connections>
</file>

<file path=xl/sharedStrings.xml><?xml version="1.0" encoding="utf-8"?>
<sst xmlns="http://schemas.openxmlformats.org/spreadsheetml/2006/main" count="20327" uniqueCount="2468">
  <si>
    <t>Export Komplet</t>
  </si>
  <si>
    <t/>
  </si>
  <si>
    <t>2.0</t>
  </si>
  <si>
    <t>False</t>
  </si>
  <si>
    <t>{a297c36a-8e3b-4747-802f-7f113afed0f5}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</si>
  <si>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</si>
  <si>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</si>
  <si>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</si>
  <si>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</si>
  <si>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</si>
  <si>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</si>
  <si>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0,001</t>
  </si>
  <si>
    <t>Kód:</t>
  </si>
  <si>
    <t>JICIN</t>
  </si>
  <si>
    <t>Stavba:</t>
  </si>
  <si>
    <t>Komunitní sociální služby DOZP</t>
  </si>
  <si>
    <t>KSO:</t>
  </si>
  <si>
    <t>CC-CZ:</t>
  </si>
  <si>
    <t>Místo:</t>
  </si>
  <si>
    <t>Jičín parc. č.1628</t>
  </si>
  <si>
    <t>Datum:</t>
  </si>
  <si>
    <t>Zadavatel:</t>
  </si>
  <si>
    <t>IČ:</t>
  </si>
  <si>
    <t>Královéhradecký kraj</t>
  </si>
  <si>
    <t>DIČ:</t>
  </si>
  <si>
    <t>Zhotovitel:</t>
  </si>
  <si>
    <t>bude určen ve výběrovém řízení</t>
  </si>
  <si>
    <t>Projektant:</t>
  </si>
  <si>
    <t>Ing.arch. Kušnierik</t>
  </si>
  <si>
    <t>True</t>
  </si>
  <si>
    <t>Zpracovatel:</t>
  </si>
  <si>
    <t>Ing.Pavel Michálek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</si>
  <si>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</si>
  <si>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</si>
  <si>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</si>
  <si>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</si>
  <si>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</si>
  <si>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</si>
  <si>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</si>
  <si>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</si>
  <si>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</si>
  <si>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</si>
  <si>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</si>
  <si>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</si>
  <si>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</si>
  <si>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</si>
  <si>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</si>
  <si>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</si>
  <si>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</si>
  <si>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</si>
  <si>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</si>
  <si>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</si>
  <si>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</si>
  <si>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</si>
  <si>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</si>
  <si>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</si>
  <si>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</si>
  <si>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</si>
  <si>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</si>
  <si>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</si>
  <si>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</si>
  <si>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</si>
  <si>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</si>
  <si>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</si>
  <si>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</si>
  <si>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</si>
  <si>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</si>
  <si>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</si>
  <si>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</si>
  <si>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</si>
  <si>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</si>
  <si>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</si>
  <si>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</si>
  <si>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</si>
  <si>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</si>
  <si>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</si>
  <si>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</si>
  <si>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</si>
  <si>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JC-A</t>
  </si>
  <si>
    <t>Objekt A</t>
  </si>
  <si>
    <t>STA</t>
  </si>
  <si>
    <t>1</t>
  </si>
  <si>
    <t>{ef373858-9c96-4b3c-8b8c-f7854bdcad75}</t>
  </si>
  <si>
    <t>JC-B</t>
  </si>
  <si>
    <t>Objekt B</t>
  </si>
  <si>
    <t>{8db2c62b-e276-423f-8785-5229b559431b}</t>
  </si>
  <si>
    <t>JC-C</t>
  </si>
  <si>
    <t>SO-03-Zpevněné plochy</t>
  </si>
  <si>
    <t>{55ebf50f-0073-445e-8b43-d674fd2c0c3c}</t>
  </si>
  <si>
    <t>KRYCÍ LIST SOUPISU PRACÍ</t>
  </si>
  <si>
    <t>Objekt:</t>
  </si>
  <si>
    <t>JC-A - Objekt A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</si>
  <si>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</si>
  <si>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</si>
  <si>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</si>
  <si>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</si>
  <si>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</si>
  <si>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</si>
  <si>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</si>
  <si>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</si>
  <si>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</si>
  <si>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</si>
  <si>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6 - Úpravy povrchů, podlahy a osazování výplní</t>
  </si>
  <si>
    <t xml:space="preserve">    9 - Ostatní konstrukce a práce, bourání</t>
  </si>
  <si>
    <t xml:space="preserve">    998 - Přesun hmot</t>
  </si>
  <si>
    <t>PSV - Práce a dodávky PSV</t>
  </si>
  <si>
    <t xml:space="preserve">    711 - Izolace proti vodě, vlhkosti a plynům</t>
  </si>
  <si>
    <t xml:space="preserve">    712 - Povlakové krytiny</t>
  </si>
  <si>
    <t xml:space="preserve">    713 - Izolace tepelné</t>
  </si>
  <si>
    <t xml:space="preserve">    721 - Zdravotechnika </t>
  </si>
  <si>
    <t xml:space="preserve">    731 - Ústřední vytápění </t>
  </si>
  <si>
    <t xml:space="preserve">    741 - Elektroinstalace - silnoproud</t>
  </si>
  <si>
    <t xml:space="preserve">    751 - Vzduchotechnika</t>
  </si>
  <si>
    <t xml:space="preserve">    762 - Konstrukce tesařské</t>
  </si>
  <si>
    <t xml:space="preserve">    763 - Konstrukce suché výstavby</t>
  </si>
  <si>
    <t xml:space="preserve">    764 - Konstrukce klempířské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</si>
  <si>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</si>
  <si>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</si>
  <si>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</si>
  <si>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776 - Podlahy povlakové</t>
  </si>
  <si>
    <t xml:space="preserve">    781 - Dokončovací práce - obklady</t>
  </si>
  <si>
    <t xml:space="preserve">    784 - Dokončovací práce - malby a tapety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</si>
  <si>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</si>
  <si>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</si>
  <si>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</si>
  <si>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</si>
  <si>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</si>
  <si>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</si>
  <si>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</si>
  <si>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</si>
  <si>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</si>
  <si>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</si>
  <si>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</si>
  <si>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</si>
  <si>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</si>
  <si>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</si>
  <si>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</si>
  <si>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</si>
  <si>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</si>
  <si>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</si>
  <si>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</si>
  <si>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</si>
  <si>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</si>
  <si>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2</t>
  </si>
  <si>
    <t>K</t>
  </si>
  <si>
    <t>112101102</t>
  </si>
  <si>
    <t>Odstranění stromů listnatých průměru kmene do 500 mm</t>
  </si>
  <si>
    <t>kus</t>
  </si>
  <si>
    <t>CS ÚRS 2022 01</t>
  </si>
  <si>
    <t>4</t>
  </si>
  <si>
    <t>-172486377</t>
  </si>
  <si>
    <t>3</t>
  </si>
  <si>
    <t>112251103</t>
  </si>
  <si>
    <t>Odstranění pařezů D do 700 mm</t>
  </si>
  <si>
    <t>1770305346</t>
  </si>
  <si>
    <t>121151124</t>
  </si>
  <si>
    <t>Sejmutí ornice plochy přes 500 m2 tl vrstvy do 250 mm strojně</t>
  </si>
  <si>
    <t>m2</t>
  </si>
  <si>
    <t>924844838</t>
  </si>
  <si>
    <t>5</t>
  </si>
  <si>
    <t>132251104</t>
  </si>
  <si>
    <t>Hloubení rýh nezapažených  š do 800 mm v hornině třídy těžitelnosti I, skupiny 3 objem přes 100 m3 strojně</t>
  </si>
  <si>
    <t>m3</t>
  </si>
  <si>
    <t>-797461413</t>
  </si>
  <si>
    <t>6</t>
  </si>
  <si>
    <t>162351103</t>
  </si>
  <si>
    <t>Vodorovné přemístění do 500 m výkopku/sypaniny z horniny třídy těžitelnosti I, skupiny 1 až 3</t>
  </si>
  <si>
    <t>752201301</t>
  </si>
  <si>
    <t>7</t>
  </si>
  <si>
    <t>162751117</t>
  </si>
  <si>
    <t>Vodorovné přemístění do 10000 m výkopku/sypaniny z horniny třídy těžitelnosti I, skupiny 1 až 3</t>
  </si>
  <si>
    <t>1497929655</t>
  </si>
  <si>
    <t>8</t>
  </si>
  <si>
    <t>167151111</t>
  </si>
  <si>
    <t>Nakládání výkopku z hornin třídy těžitelnosti I, skupiny 1 až 3 přes 100 m3</t>
  </si>
  <si>
    <t>-1265228156</t>
  </si>
  <si>
    <t>9</t>
  </si>
  <si>
    <t>171201221</t>
  </si>
  <si>
    <t>Poplatek za uložení na skládce (skládkovné) zeminy a kamení kód odpadu 17 05 04</t>
  </si>
  <si>
    <t>t</t>
  </si>
  <si>
    <t>163023608</t>
  </si>
  <si>
    <t>10</t>
  </si>
  <si>
    <t>171251201</t>
  </si>
  <si>
    <t>Uložení sypaniny na skládky nebo meziskládky</t>
  </si>
  <si>
    <t>2009536523</t>
  </si>
  <si>
    <t>11</t>
  </si>
  <si>
    <t>181951112</t>
  </si>
  <si>
    <t>Úprava pláně v hornině třídy těžitelnosti I, skupiny 1 až 3 se zhutněním strojně</t>
  </si>
  <si>
    <t>-380286230</t>
  </si>
  <si>
    <t>Zakládání</t>
  </si>
  <si>
    <t>12</t>
  </si>
  <si>
    <t>226112213</t>
  </si>
  <si>
    <t>Vrty velkoprofilové svislé nezapažené D do 650 mm hl přes 5 m hor. III</t>
  </si>
  <si>
    <t>m</t>
  </si>
  <si>
    <t>-830393416</t>
  </si>
  <si>
    <t>13</t>
  </si>
  <si>
    <t>226112413</t>
  </si>
  <si>
    <t>Vrty velkoprofilové svislé nezapažené D do 850 mm hl přes 5 m hor. III</t>
  </si>
  <si>
    <t>-629626275</t>
  </si>
  <si>
    <t>14</t>
  </si>
  <si>
    <t>226113213</t>
  </si>
  <si>
    <t>Vrty velkoprofilové svislé nezapažené D do 1050 mm hl přes 5 m hor. III</t>
  </si>
  <si>
    <t>-1809777136</t>
  </si>
  <si>
    <t>231112112</t>
  </si>
  <si>
    <t>Zřízení pilot svislých D do 650 mm hl do 10 m bez vytažení pažnic z betonu železového</t>
  </si>
  <si>
    <t>-395613737</t>
  </si>
  <si>
    <t>16</t>
  </si>
  <si>
    <t>M</t>
  </si>
  <si>
    <t>58932932</t>
  </si>
  <si>
    <t>beton C 25/30 X0 kamenivo frakce 0/16</t>
  </si>
  <si>
    <t>1673940154</t>
  </si>
  <si>
    <t>17</t>
  </si>
  <si>
    <t>231112113</t>
  </si>
  <si>
    <t>Zřízení pilot svislých D do 1250 mm hl do 10 m bez vytažení pažnic z betonu železového</t>
  </si>
  <si>
    <t>-1262940824</t>
  </si>
  <si>
    <t>18</t>
  </si>
  <si>
    <t>1204077149</t>
  </si>
  <si>
    <t>19</t>
  </si>
  <si>
    <t>231611114</t>
  </si>
  <si>
    <t>Výztuž pilot betonovaných do země ocel z betonářské oceli 10 505</t>
  </si>
  <si>
    <t>-1525697013</t>
  </si>
  <si>
    <t>20</t>
  </si>
  <si>
    <t>273313711</t>
  </si>
  <si>
    <t>Základové desky z betonu tř. C 20/25</t>
  </si>
  <si>
    <t>-1334202741</t>
  </si>
  <si>
    <t>273351121</t>
  </si>
  <si>
    <t>Zřízení bednění základových desek</t>
  </si>
  <si>
    <t>2123590704</t>
  </si>
  <si>
    <t>22</t>
  </si>
  <si>
    <t>273351122</t>
  </si>
  <si>
    <t>Odstranění bednění základových desek</t>
  </si>
  <si>
    <t>2111732537</t>
  </si>
  <si>
    <t>23</t>
  </si>
  <si>
    <t>273361821</t>
  </si>
  <si>
    <t>Výztuž základových desek a pásů betonářskou ocelí 10 505 (R)</t>
  </si>
  <si>
    <t>-1955281791</t>
  </si>
  <si>
    <t>24</t>
  </si>
  <si>
    <t>274313611</t>
  </si>
  <si>
    <t>Základové pásy z betonu tř. C 16/20</t>
  </si>
  <si>
    <t>732235502</t>
  </si>
  <si>
    <t>25</t>
  </si>
  <si>
    <t>274351121</t>
  </si>
  <si>
    <t>Zřízení bednění základových pasů rovného</t>
  </si>
  <si>
    <t>-2117733463</t>
  </si>
  <si>
    <t>26</t>
  </si>
  <si>
    <t>274351122</t>
  </si>
  <si>
    <t>Odstranění bednění základových pasů rovného</t>
  </si>
  <si>
    <t>-73908234</t>
  </si>
  <si>
    <t>Svislé a kompletní konstrukce</t>
  </si>
  <si>
    <t>27</t>
  </si>
  <si>
    <t>311235141.WNR</t>
  </si>
  <si>
    <t>Zdivo jednovrstvé z cihel Porotherm 24 Profi P15 na tenkovrstvou maltu tl 240 mm</t>
  </si>
  <si>
    <t>-488643627</t>
  </si>
  <si>
    <t>28</t>
  </si>
  <si>
    <t>311235151</t>
  </si>
  <si>
    <t>Zdivo jednovrstvé z cihel broušených do P10 na tenkovrstvou maltu tl 300 mm</t>
  </si>
  <si>
    <t>568791785</t>
  </si>
  <si>
    <t>29</t>
  </si>
  <si>
    <t>342244201.WNR</t>
  </si>
  <si>
    <t>Příčka z cihel Porotherm 8 Profi P10 na tenkovrstvou maltu tloušťky 80 mm</t>
  </si>
  <si>
    <t>-473460364</t>
  </si>
  <si>
    <t>30</t>
  </si>
  <si>
    <t>342244221.WNR</t>
  </si>
  <si>
    <t>Příčka z cihel Porotherm 14 Profi P10 na tenkovrstvou maltu tloušťky 140 mm</t>
  </si>
  <si>
    <t>941817980</t>
  </si>
  <si>
    <t>236</t>
  </si>
  <si>
    <t>388995215</t>
  </si>
  <si>
    <t>Chránička kabelů z trub HDPE v římse DN 200</t>
  </si>
  <si>
    <t>307080322</t>
  </si>
  <si>
    <t>Vodorovné konstrukce</t>
  </si>
  <si>
    <t>31</t>
  </si>
  <si>
    <t>411321616</t>
  </si>
  <si>
    <t>Stropy deskové ze ŽB tř. C 30/37 vč. schodišť</t>
  </si>
  <si>
    <t>1761985897</t>
  </si>
  <si>
    <t>32</t>
  </si>
  <si>
    <t>411351011</t>
  </si>
  <si>
    <t>Zřízení bednění stropů deskových tl do 25 cm bez podpěrné kce</t>
  </si>
  <si>
    <t>800515426</t>
  </si>
  <si>
    <t>33</t>
  </si>
  <si>
    <t>411351012</t>
  </si>
  <si>
    <t>Odstranění bednění stropů deskových tl do 25 cm bez podpěrné kce</t>
  </si>
  <si>
    <t>1727876743</t>
  </si>
  <si>
    <t>34</t>
  </si>
  <si>
    <t>411354311</t>
  </si>
  <si>
    <t>Zřízení podpěrné konstrukce stropů výšky do 4 m tl do 15 cm</t>
  </si>
  <si>
    <t>-619625957</t>
  </si>
  <si>
    <t>35</t>
  </si>
  <si>
    <t>411354312</t>
  </si>
  <si>
    <t>Odstranění podpěrné konstrukce stropů výšky do 4 m tl do 15 cm</t>
  </si>
  <si>
    <t>2001418888</t>
  </si>
  <si>
    <t>36</t>
  </si>
  <si>
    <t>411354313</t>
  </si>
  <si>
    <t>Zřízení podpěrné konstrukce stropů výšky do 4 m tl do 25 cm</t>
  </si>
  <si>
    <t>1909758098</t>
  </si>
  <si>
    <t>37</t>
  </si>
  <si>
    <t>411354314</t>
  </si>
  <si>
    <t>Odstranění podpěrné konstrukce stropů výšky do 4 m tl do 25 cm</t>
  </si>
  <si>
    <t>2081055297</t>
  </si>
  <si>
    <t>38</t>
  </si>
  <si>
    <t>411361821</t>
  </si>
  <si>
    <t>Výztuž stropů betonářskou ocelí 10 505</t>
  </si>
  <si>
    <t>658398422</t>
  </si>
  <si>
    <t>39</t>
  </si>
  <si>
    <t>411362021</t>
  </si>
  <si>
    <t>Výztuž stropů svařovanými sítěmi Kari</t>
  </si>
  <si>
    <t>-820607977</t>
  </si>
  <si>
    <t>40</t>
  </si>
  <si>
    <t>413321616</t>
  </si>
  <si>
    <t>Nosníky ze ŽB tř. C 30/37</t>
  </si>
  <si>
    <t>213201946</t>
  </si>
  <si>
    <t>41</t>
  </si>
  <si>
    <t>413351121</t>
  </si>
  <si>
    <t>Zřízení bednění nosníků a průvlaků bez podpěrné kce výšky přes 100 cm</t>
  </si>
  <si>
    <t>-246743609</t>
  </si>
  <si>
    <t>42</t>
  </si>
  <si>
    <t>413351122</t>
  </si>
  <si>
    <t>Odstranění bednění nosníků a průvlaků bez podpěrné kce výšky přes 100 cm</t>
  </si>
  <si>
    <t>146175476</t>
  </si>
  <si>
    <t>43</t>
  </si>
  <si>
    <t>413352115</t>
  </si>
  <si>
    <t>Zřízení podpěrné konstrukce nosníků výšky podepření do 4 m pro nosník výšky přes 100 cm</t>
  </si>
  <si>
    <t>-1629731991</t>
  </si>
  <si>
    <t>44</t>
  </si>
  <si>
    <t>413352116</t>
  </si>
  <si>
    <t>Odstranění podpěrné konstrukce nosníků výšky podepření do 4 m pro nosník výšky přes 100 cm</t>
  </si>
  <si>
    <t>1556199728</t>
  </si>
  <si>
    <t>45</t>
  </si>
  <si>
    <t>413361821</t>
  </si>
  <si>
    <t>Výztuž nosníků, volných trámů nebo průvlaků volných trámů betonářskou ocelí 10 505</t>
  </si>
  <si>
    <t>-1980671298</t>
  </si>
  <si>
    <t>Úpravy povrchů, podlahy a osazování výplní</t>
  </si>
  <si>
    <t>49</t>
  </si>
  <si>
    <t>611321141</t>
  </si>
  <si>
    <t>Vápenocementová omítka štuková dvouvrstvá vnitřních stropů rovných nanášená ručně</t>
  </si>
  <si>
    <t>-1116024586</t>
  </si>
  <si>
    <t>50</t>
  </si>
  <si>
    <t>611321191</t>
  </si>
  <si>
    <t>Příplatek k vápenocementové omítce vnitřních stropů za každých dalších 5 mm tloušťky ručně</t>
  </si>
  <si>
    <t>-1402467438</t>
  </si>
  <si>
    <t>51</t>
  </si>
  <si>
    <t>612321141</t>
  </si>
  <si>
    <t>Vápenocementová omítka štuková dvouvrstvá vnitřních stěn nanášená ručně</t>
  </si>
  <si>
    <t>-684957738</t>
  </si>
  <si>
    <t>53</t>
  </si>
  <si>
    <t>613321141</t>
  </si>
  <si>
    <t>Vápenocementová omítka štuková dvouvrstvá vnitřních pilířů nebo sloupů nanášená ručně</t>
  </si>
  <si>
    <t>-1498526106</t>
  </si>
  <si>
    <t>52</t>
  </si>
  <si>
    <t>612321191</t>
  </si>
  <si>
    <t>Příplatek k vápenocementové omítce vnitřních stěn za každých dalších 5 mm tloušťky ručně</t>
  </si>
  <si>
    <t>2112728325</t>
  </si>
  <si>
    <t>54</t>
  </si>
  <si>
    <t>613321191</t>
  </si>
  <si>
    <t>Příplatek k vápenocementové omítce vnitřních sloupů za každých dalších 5 mm tloušťky ručně</t>
  </si>
  <si>
    <t>-358580573</t>
  </si>
  <si>
    <t>55</t>
  </si>
  <si>
    <t>621221041</t>
  </si>
  <si>
    <t>Montáž kontaktního zateplení vnějších podhledů lepením a mechanickým kotvením desek z minerální vlny s podélnou orientací tl přes 160 mm</t>
  </si>
  <si>
    <t>2103767177</t>
  </si>
  <si>
    <t>56</t>
  </si>
  <si>
    <t>63151546</t>
  </si>
  <si>
    <t>deska tepelně izolační minerální kontaktních fasád podélné vlákno λ=0,036 tl 260mm</t>
  </si>
  <si>
    <t>1651608738</t>
  </si>
  <si>
    <t>VV</t>
  </si>
  <si>
    <t>56,30768*1,02 'Přepočtené koeficientem množství</t>
  </si>
  <si>
    <t>57</t>
  </si>
  <si>
    <t>621531031</t>
  </si>
  <si>
    <t>Tenkovrstvá silikonová zrnitá omítka tl. 3,0 mm včetně penetrace vnějších podhledů</t>
  </si>
  <si>
    <t>CS ÚRS 2021 01</t>
  </si>
  <si>
    <t>-157839434</t>
  </si>
  <si>
    <t>58</t>
  </si>
  <si>
    <t>622143004</t>
  </si>
  <si>
    <t>Montáž omítkových samolepících začišťovacích profilů pro spojení s okenním rámem</t>
  </si>
  <si>
    <t>1980879548</t>
  </si>
  <si>
    <t>59</t>
  </si>
  <si>
    <t>59051476</t>
  </si>
  <si>
    <t>profil začišťovací PVC 9mm s výztužnou tkaninou pro ostění ETICS</t>
  </si>
  <si>
    <t>1513791624</t>
  </si>
  <si>
    <t>655,2*1,05 'Přepočtené koeficientem množství</t>
  </si>
  <si>
    <t>60</t>
  </si>
  <si>
    <t>622211041</t>
  </si>
  <si>
    <t>Montáž kontaktního zateplení vnějších stěn lepením a mechanickým kotvením polystyrénových desek tl do 200 mm</t>
  </si>
  <si>
    <t>935546192</t>
  </si>
  <si>
    <t>61</t>
  </si>
  <si>
    <t>28376048</t>
  </si>
  <si>
    <t>deska EPS grafitová fasádní λ=0,032 tl 200mm</t>
  </si>
  <si>
    <t>645444313</t>
  </si>
  <si>
    <t>950,49448*1,02 'Přepočtené koeficientem množství</t>
  </si>
  <si>
    <t>62</t>
  </si>
  <si>
    <t>622252001</t>
  </si>
  <si>
    <t>Montáž profilů kontaktního zateplení připevněných mechanicky</t>
  </si>
  <si>
    <t>2110092863</t>
  </si>
  <si>
    <t>63</t>
  </si>
  <si>
    <t>59051657</t>
  </si>
  <si>
    <t>profil zakládací Al tl 0,7mm pro ETICS pro izolant tl 200mm</t>
  </si>
  <si>
    <t>-1015368481</t>
  </si>
  <si>
    <t>111,8*1,05 'Přepočtené koeficientem množství</t>
  </si>
  <si>
    <t>64</t>
  </si>
  <si>
    <t>622531031</t>
  </si>
  <si>
    <t>Tenkovrstvá silikonová zrnitá omítka tl. 3,0 mm včetně penetrace vnějších stěn</t>
  </si>
  <si>
    <t>690980896</t>
  </si>
  <si>
    <t>65</t>
  </si>
  <si>
    <t>623531031</t>
  </si>
  <si>
    <t>Tenkovrstvá silikonová zrnitá omítka tl. 3,0 mm včetně penetrace vnějších pilířů nebo sloupů</t>
  </si>
  <si>
    <t>-851463430</t>
  </si>
  <si>
    <t>66</t>
  </si>
  <si>
    <t>629135102</t>
  </si>
  <si>
    <t>Vyrovnávací vrstva pod klempířské prvky z MC š do 300 mm</t>
  </si>
  <si>
    <t>1025229917</t>
  </si>
  <si>
    <t>67</t>
  </si>
  <si>
    <t>629991011</t>
  </si>
  <si>
    <t>Zakrytí výplní otvorů a svislých ploch fólií přilepenou lepící páskou</t>
  </si>
  <si>
    <t>949988949</t>
  </si>
  <si>
    <t>68</t>
  </si>
  <si>
    <t>631311214</t>
  </si>
  <si>
    <t>Mazanina tl do 80 mm z betonu prostého se zvýšenými nároky na prostředí tř. C 25/30</t>
  </si>
  <si>
    <t>1138472471</t>
  </si>
  <si>
    <t>69</t>
  </si>
  <si>
    <t>632481213</t>
  </si>
  <si>
    <t>Separační vrstva z PE fólie</t>
  </si>
  <si>
    <t>-252983669</t>
  </si>
  <si>
    <t>70</t>
  </si>
  <si>
    <t>634112113</t>
  </si>
  <si>
    <t>Obvodová dilatace podlahovým páskem z pěnového PE mezi stěnou a mazaninou nebo potěrem v 80 mm</t>
  </si>
  <si>
    <t>-1278695981</t>
  </si>
  <si>
    <t>Ostatní konstrukce a práce, bourání</t>
  </si>
  <si>
    <t>71</t>
  </si>
  <si>
    <t>915001</t>
  </si>
  <si>
    <t>D+M zahradní altán</t>
  </si>
  <si>
    <t>kpl</t>
  </si>
  <si>
    <t>-1884315603</t>
  </si>
  <si>
    <t>72</t>
  </si>
  <si>
    <t>915003</t>
  </si>
  <si>
    <t>D+M zahradní mobiliář-lavičky,stoly</t>
  </si>
  <si>
    <t>1359930875</t>
  </si>
  <si>
    <t>73</t>
  </si>
  <si>
    <t>915004</t>
  </si>
  <si>
    <t xml:space="preserve">D+M zahradní jezírko </t>
  </si>
  <si>
    <t>789729601</t>
  </si>
  <si>
    <t>74</t>
  </si>
  <si>
    <t>915005</t>
  </si>
  <si>
    <t>Terénní úpravy zahrady</t>
  </si>
  <si>
    <t>-1121990366</t>
  </si>
  <si>
    <t>75</t>
  </si>
  <si>
    <t>915006</t>
  </si>
  <si>
    <t>D+M sadové úpravy</t>
  </si>
  <si>
    <t>2078483679</t>
  </si>
  <si>
    <t>76</t>
  </si>
  <si>
    <t>915007</t>
  </si>
  <si>
    <t>D+M PHP práškový s hasící schopností  21A</t>
  </si>
  <si>
    <t>ks</t>
  </si>
  <si>
    <t>-1507672987</t>
  </si>
  <si>
    <t>77</t>
  </si>
  <si>
    <t>915008</t>
  </si>
  <si>
    <t>D+M oplocení z plotových ocelových panelů výška 120cm do ocelových sloupků vč. beton. pohrab. desek a bet. patek</t>
  </si>
  <si>
    <t>bm</t>
  </si>
  <si>
    <t>980329769</t>
  </si>
  <si>
    <t>78</t>
  </si>
  <si>
    <t>915009</t>
  </si>
  <si>
    <t>D+M oplocení zděné z plotových tvárnic vč. zákl. pásů výška200cm tl. 200m</t>
  </si>
  <si>
    <t>1962078289</t>
  </si>
  <si>
    <t>79</t>
  </si>
  <si>
    <t>915010</t>
  </si>
  <si>
    <t>D+M vertikální zahrada LIVINGWALL</t>
  </si>
  <si>
    <t>-749845280</t>
  </si>
  <si>
    <t>80</t>
  </si>
  <si>
    <t>915011</t>
  </si>
  <si>
    <t>Piktogramy z broušené nerezové oceli120/120/3mm</t>
  </si>
  <si>
    <t>-1424141925</t>
  </si>
  <si>
    <t>81</t>
  </si>
  <si>
    <t>919726125</t>
  </si>
  <si>
    <t>Geotextilie pro ochranu, separaci a filtraci netkaná měrná hmotnost do 1000 g/m2</t>
  </si>
  <si>
    <t>-869230514</t>
  </si>
  <si>
    <t>82</t>
  </si>
  <si>
    <t>941111221</t>
  </si>
  <si>
    <t>Příplatek k lešení řadovému trubkovému lehkému s podlahami š 1,2 m v 10 m za první a ZKD den použití</t>
  </si>
  <si>
    <t>1688294407</t>
  </si>
  <si>
    <t>83</t>
  </si>
  <si>
    <t>941111821</t>
  </si>
  <si>
    <t>Demontáž lešení řadového trubkového lehkého s podlahami zatížení do 200 kg/m2 š do 1,2 m v do 10 m</t>
  </si>
  <si>
    <t>1135473207</t>
  </si>
  <si>
    <t>84</t>
  </si>
  <si>
    <t>941111121</t>
  </si>
  <si>
    <t>Montáž lešení řadového trubkového lehkého s podlahami zatížení do 200 kg/m2 š do 1,2 m v do 10 m</t>
  </si>
  <si>
    <t>1594849546</t>
  </si>
  <si>
    <t>85</t>
  </si>
  <si>
    <t>944511111</t>
  </si>
  <si>
    <t>Montáž ochranné sítě z textilie z umělých vláken</t>
  </si>
  <si>
    <t>319758465</t>
  </si>
  <si>
    <t>86</t>
  </si>
  <si>
    <t>944511211</t>
  </si>
  <si>
    <t>Příplatek k ochranné síti za první a ZKD den použití</t>
  </si>
  <si>
    <t>-226284751</t>
  </si>
  <si>
    <t>87</t>
  </si>
  <si>
    <t>944511811</t>
  </si>
  <si>
    <t>Demontáž ochranné sítě z textilie z umělých vláken</t>
  </si>
  <si>
    <t>-884123795</t>
  </si>
  <si>
    <t>88</t>
  </si>
  <si>
    <t>949101111</t>
  </si>
  <si>
    <t>Lešení pomocné pro objekty pozemních staveb s lešeňovou podlahou v do 1,9 m zatížení do 150 kg/m2</t>
  </si>
  <si>
    <t>-248006407</t>
  </si>
  <si>
    <t>89</t>
  </si>
  <si>
    <t>952901111</t>
  </si>
  <si>
    <t>Vyčištění budov bytové a občanské výstavby při výšce podlaží do 4 m</t>
  </si>
  <si>
    <t>785969552</t>
  </si>
  <si>
    <t>235</t>
  </si>
  <si>
    <t>977151125</t>
  </si>
  <si>
    <t>Jádrové vrty diamantovými korunkami do stavebních materiálů D přes 180 do 200 mm</t>
  </si>
  <si>
    <t>-764879779</t>
  </si>
  <si>
    <t>0,3*30</t>
  </si>
  <si>
    <t>998</t>
  </si>
  <si>
    <t>Přesun hmot</t>
  </si>
  <si>
    <t>90</t>
  </si>
  <si>
    <t>998011002</t>
  </si>
  <si>
    <t>Přesun hmot pro budovy zděné v do 12 m</t>
  </si>
  <si>
    <t>-2123668723</t>
  </si>
  <si>
    <t>PSV</t>
  </si>
  <si>
    <t>Práce a dodávky PSV</t>
  </si>
  <si>
    <t>711</t>
  </si>
  <si>
    <t>Izolace proti vodě, vlhkosti a plynům</t>
  </si>
  <si>
    <t>91</t>
  </si>
  <si>
    <t>711111001</t>
  </si>
  <si>
    <t>Provedení izolace proti zemní vlhkosti vodorovné za studena nátěrem penetračním</t>
  </si>
  <si>
    <t>-60407243</t>
  </si>
  <si>
    <t>92</t>
  </si>
  <si>
    <t>11163150</t>
  </si>
  <si>
    <t>lak penetrační asfaltový</t>
  </si>
  <si>
    <t>-1400840065</t>
  </si>
  <si>
    <t>1551,264*0,00033 'Přepočtené koeficientem množství</t>
  </si>
  <si>
    <t>93</t>
  </si>
  <si>
    <t>711112001</t>
  </si>
  <si>
    <t>Provedení izolace proti zemní vlhkosti svislé za studena nátěrem penetračním</t>
  </si>
  <si>
    <t>599375697</t>
  </si>
  <si>
    <t>94</t>
  </si>
  <si>
    <t>-1984042522</t>
  </si>
  <si>
    <t>132,0904*0,00034 'Přepočtené koeficientem množství</t>
  </si>
  <si>
    <t>95</t>
  </si>
  <si>
    <t>711141559</t>
  </si>
  <si>
    <t>Provedení izolace proti zemní vlhkosti pásy přitavením vodorovné NAIP</t>
  </si>
  <si>
    <t>1416511445</t>
  </si>
  <si>
    <t>96</t>
  </si>
  <si>
    <t>DEK.1010151880</t>
  </si>
  <si>
    <t>GLASTEK 40 SPECIAL MINERAL (role/7,5m2)</t>
  </si>
  <si>
    <t>-1239764465</t>
  </si>
  <si>
    <t>1551,264*1,1655 'Přepočtené koeficientem množství</t>
  </si>
  <si>
    <t>97</t>
  </si>
  <si>
    <t>711142559</t>
  </si>
  <si>
    <t>Provedení izolace proti zemní vlhkosti pásy přitavením svislé NAIP</t>
  </si>
  <si>
    <t>200076592</t>
  </si>
  <si>
    <t>98</t>
  </si>
  <si>
    <t>DEK.1010301469</t>
  </si>
  <si>
    <t>GLASTEK AL 40 MINERAL (role/7,5m2)</t>
  </si>
  <si>
    <t>-996643602</t>
  </si>
  <si>
    <t>132,0904*1,221 'Přepočtené koeficientem množství</t>
  </si>
  <si>
    <t>99</t>
  </si>
  <si>
    <t>711191201.1</t>
  </si>
  <si>
    <t>Provedení izolace proti zemní vlhkosti hydroizolační stěrkou vodorovné na betonu, 2 vrstvy vč. dodávky</t>
  </si>
  <si>
    <t>1047910020</t>
  </si>
  <si>
    <t>100</t>
  </si>
  <si>
    <t>711192202.1</t>
  </si>
  <si>
    <t>Provedení izolace proti zemní vlhkosti hydroizolační stěrkou svislé na zdivu, 2 vrstvy vč. dodávky</t>
  </si>
  <si>
    <t>2047465587</t>
  </si>
  <si>
    <t>101</t>
  </si>
  <si>
    <t>998711202</t>
  </si>
  <si>
    <t>Přesun hmot procentní pro izolace proti vodě, vlhkosti a plynům v objektech v do 12 m</t>
  </si>
  <si>
    <t>%</t>
  </si>
  <si>
    <t>-488509455</t>
  </si>
  <si>
    <t>712</t>
  </si>
  <si>
    <t>Povlakové krytiny</t>
  </si>
  <si>
    <t>102</t>
  </si>
  <si>
    <t>712311101</t>
  </si>
  <si>
    <t>Provedení povlakové krytiny střech do 10° za studena lakem penetračním nebo asfaltovým</t>
  </si>
  <si>
    <t>-541203354</t>
  </si>
  <si>
    <t>103</t>
  </si>
  <si>
    <t>-113759941</t>
  </si>
  <si>
    <t>186,9452*0,00032 'Přepočtené koeficientem množství</t>
  </si>
  <si>
    <t>104</t>
  </si>
  <si>
    <t>712341559</t>
  </si>
  <si>
    <t>Provedení povlakové krytiny střech do 10° pásy NAIP přitavením v plné ploše</t>
  </si>
  <si>
    <t>-299358761</t>
  </si>
  <si>
    <t>105</t>
  </si>
  <si>
    <t>-700952312</t>
  </si>
  <si>
    <t>171,5532*1,1655 'Přepočtené koeficientem množství</t>
  </si>
  <si>
    <t>106</t>
  </si>
  <si>
    <t>712361703</t>
  </si>
  <si>
    <t>Provedení povlakové krytiny střech do 10° fólií přilepenou v plné ploše</t>
  </si>
  <si>
    <t>-593522533</t>
  </si>
  <si>
    <t>107</t>
  </si>
  <si>
    <t>28343012</t>
  </si>
  <si>
    <t>fólie hydroizolační střešní mPVC určená ke stabilizaci přitížením a do vegetačních střech tl 1,5mm</t>
  </si>
  <si>
    <t>1378222954</t>
  </si>
  <si>
    <t>140,7692*1,1655 'Přepočtené koeficientem množství</t>
  </si>
  <si>
    <t>108</t>
  </si>
  <si>
    <t>712391172</t>
  </si>
  <si>
    <t>Provedení povlakové krytiny střech do 10° ochranné textilní vrstvy</t>
  </si>
  <si>
    <t>1435926485</t>
  </si>
  <si>
    <t>109</t>
  </si>
  <si>
    <t>69311006</t>
  </si>
  <si>
    <t>geotextilie tkaná separační, filtrační, výztužná PP pevnost v tahu 15kN/m</t>
  </si>
  <si>
    <t>-94201351</t>
  </si>
  <si>
    <t>140,7692*1,15 'Přepočtené koeficientem množství</t>
  </si>
  <si>
    <t>110</t>
  </si>
  <si>
    <t>712391382</t>
  </si>
  <si>
    <t>Provedení povlakové krytiny střech do 10° násypem z hrubého kameniva tl 50 mm</t>
  </si>
  <si>
    <t>-1473678551</t>
  </si>
  <si>
    <t>111</t>
  </si>
  <si>
    <t>58343959</t>
  </si>
  <si>
    <t>kamenivo drcené hrubé frakce 32/63</t>
  </si>
  <si>
    <t>-1727123058</t>
  </si>
  <si>
    <t>140,7692*0,0825 'Přepočtené koeficientem množství</t>
  </si>
  <si>
    <t>112</t>
  </si>
  <si>
    <t>712391482</t>
  </si>
  <si>
    <t>Příplatek k povlakové krytině střech do 10° ZKD 10 mm násypu z hrubého kameniva</t>
  </si>
  <si>
    <t>-533829147</t>
  </si>
  <si>
    <t>113</t>
  </si>
  <si>
    <t>49781230</t>
  </si>
  <si>
    <t>1407,692*0,0165 'Přepočtené koeficientem množství</t>
  </si>
  <si>
    <t>114</t>
  </si>
  <si>
    <t>998712202</t>
  </si>
  <si>
    <t>Přesun hmot procentní pro krytiny povlakové v objektech v do 12 m</t>
  </si>
  <si>
    <t>1300539379</t>
  </si>
  <si>
    <t>713</t>
  </si>
  <si>
    <t>Izolace tepelné</t>
  </si>
  <si>
    <t>115</t>
  </si>
  <si>
    <t>713121121</t>
  </si>
  <si>
    <t>Montáž izolace tepelné podlah volně kladenými rohožemi, pásy, dílci, deskami 2 vrstvy</t>
  </si>
  <si>
    <t>-1504003172</t>
  </si>
  <si>
    <t>116</t>
  </si>
  <si>
    <t>28375914</t>
  </si>
  <si>
    <t>deska EPS 150 do plochých střech a podlah λ=0,035 tl 100mm</t>
  </si>
  <si>
    <t>-1029605819</t>
  </si>
  <si>
    <t>705,12*1,02 'Přepočtené koeficientem množství</t>
  </si>
  <si>
    <t>117</t>
  </si>
  <si>
    <t>28375033</t>
  </si>
  <si>
    <t>deska EPS 150 do plochých střech a podlah λ=0,035 tl 150mm</t>
  </si>
  <si>
    <t>-2081603485</t>
  </si>
  <si>
    <t>118</t>
  </si>
  <si>
    <t>245990199</t>
  </si>
  <si>
    <t>119</t>
  </si>
  <si>
    <t>ISV.8591057210204</t>
  </si>
  <si>
    <t>Isover EPS RigiFloor 4000 - 20mm, λD = 0,044 (W·m-1·K-1),1000x500x20mm, elastifikovaný polystyren pro kročejový útlum těžkých plovoucích podlah (beton, anhydrit) s užitným zatížením max. 4 kN/m2.</t>
  </si>
  <si>
    <t>-2018819071</t>
  </si>
  <si>
    <t>427,284*1,02 'Přepočtené koeficientem množství</t>
  </si>
  <si>
    <t>120</t>
  </si>
  <si>
    <t>ISV.8591057210303</t>
  </si>
  <si>
    <t>Isover EPS RigiFloor 4000 - 30mm, λD = 0,044 (W·m-1·K-1),1000x500x30mm, elastifikovaný polystyren pro kročejový útlum těžkých plovoucích podlah (beton, anhydrit) s užitným zatížením max. 4 kN/m2.</t>
  </si>
  <si>
    <t>653811340</t>
  </si>
  <si>
    <t>121</t>
  </si>
  <si>
    <t>713131141</t>
  </si>
  <si>
    <t>Montáž izolace tepelné stěn a základů lepením celoplošně rohoží, pásů, dílců, desek</t>
  </si>
  <si>
    <t>1265286977</t>
  </si>
  <si>
    <t>122</t>
  </si>
  <si>
    <t>URA.71</t>
  </si>
  <si>
    <t>deska z extrudovaného polystyrénu URSA XPS N-V-L - 1250 x 600 x 120 mm</t>
  </si>
  <si>
    <t>-2059256792</t>
  </si>
  <si>
    <t>79,25424*1,05 'Přepočtené koeficientem množství</t>
  </si>
  <si>
    <t>123</t>
  </si>
  <si>
    <t>713141152</t>
  </si>
  <si>
    <t>Montáž izolace tepelné střech plochých kladené volně 2 vrstvy rohoží, pásů, dílců, desek</t>
  </si>
  <si>
    <t>1260296554</t>
  </si>
  <si>
    <t>124</t>
  </si>
  <si>
    <t>28372317</t>
  </si>
  <si>
    <t>deska EPS 100 do plochých střech a podlah λ=0,037 tl 150mm-spádové klíny</t>
  </si>
  <si>
    <t>-1681798894</t>
  </si>
  <si>
    <t>154,84612*1,02 'Přepočtené koeficientem množství</t>
  </si>
  <si>
    <t>125</t>
  </si>
  <si>
    <t>28372321</t>
  </si>
  <si>
    <t>deska EPS 100 do plochých střech a podlah λ=0,037 tl 200mm</t>
  </si>
  <si>
    <t>1075514322</t>
  </si>
  <si>
    <t>126</t>
  </si>
  <si>
    <t>1969783177</t>
  </si>
  <si>
    <t>127</t>
  </si>
  <si>
    <t>28376501</t>
  </si>
  <si>
    <t>deska izolační PIR s oboustranným textilním rounem 1200x600x100mm</t>
  </si>
  <si>
    <t>-920423718</t>
  </si>
  <si>
    <t>15,392*1,02 'Přepočtené koeficientem množství</t>
  </si>
  <si>
    <t>128</t>
  </si>
  <si>
    <t>28376503</t>
  </si>
  <si>
    <t>deska izolační PIR s oboustranným textilním rounem 1200x600x120mm</t>
  </si>
  <si>
    <t>1929990966</t>
  </si>
  <si>
    <t>129</t>
  </si>
  <si>
    <t>28372305</t>
  </si>
  <si>
    <t>deska EPS 100 do plochých střech a podlah λ=0,037 tl 50mm</t>
  </si>
  <si>
    <t>-818925607</t>
  </si>
  <si>
    <t>130</t>
  </si>
  <si>
    <t>713151111</t>
  </si>
  <si>
    <t>Montáž izolace tepelné střech šikmých kladené volně mezi krokve rohoží, pásů, desek</t>
  </si>
  <si>
    <t>-1211000670</t>
  </si>
  <si>
    <t>131</t>
  </si>
  <si>
    <t>28376506</t>
  </si>
  <si>
    <t>deska izolační PIR s oboustranným textilním rounem 1200x600x180mm</t>
  </si>
  <si>
    <t>2111630910</t>
  </si>
  <si>
    <t>746,93424*1,02 'Přepočtené koeficientem množství</t>
  </si>
  <si>
    <t>132</t>
  </si>
  <si>
    <t>713151121</t>
  </si>
  <si>
    <t>Montáž izolace tepelné střech šikmých kladené volně pod krokve rohoží, pásů, desek</t>
  </si>
  <si>
    <t>-1463499077</t>
  </si>
  <si>
    <t>133</t>
  </si>
  <si>
    <t>ISV.8592248000819</t>
  </si>
  <si>
    <t>Isover UNI 100mm, λD = 0,035 (W·m-1·K-1),1200x600x100mm, univerzální izolace z čedičových vláken, vhodná zejména mezi a pod krokve.</t>
  </si>
  <si>
    <t>-1842794717</t>
  </si>
  <si>
    <t>134</t>
  </si>
  <si>
    <t>998713202</t>
  </si>
  <si>
    <t>Přesun hmot procentní pro izolace tepelné v objektech v do 12 m</t>
  </si>
  <si>
    <t>-34387905</t>
  </si>
  <si>
    <t>721</t>
  </si>
  <si>
    <t xml:space="preserve">Zdravotechnika </t>
  </si>
  <si>
    <t>135</t>
  </si>
  <si>
    <t>721001</t>
  </si>
  <si>
    <t>D+M vnitřní rozvody vody a kanalizace vč. zařiz. předmětů-objekt A</t>
  </si>
  <si>
    <t>-667117972</t>
  </si>
  <si>
    <t>136</t>
  </si>
  <si>
    <t>721001a</t>
  </si>
  <si>
    <t xml:space="preserve">dtto,avšak objekt B </t>
  </si>
  <si>
    <t>-370140689</t>
  </si>
  <si>
    <t>137</t>
  </si>
  <si>
    <t>721002</t>
  </si>
  <si>
    <t>D+M vnější rozvody vody č. zemních prací</t>
  </si>
  <si>
    <t>1143913792</t>
  </si>
  <si>
    <t>138</t>
  </si>
  <si>
    <t>721003</t>
  </si>
  <si>
    <t>D+M plynovodní přípojka vč. zemních prací-objekt A</t>
  </si>
  <si>
    <t>-544767065</t>
  </si>
  <si>
    <t>139</t>
  </si>
  <si>
    <t>721004</t>
  </si>
  <si>
    <t>dtto,avšak objekt B</t>
  </si>
  <si>
    <t>1942719741</t>
  </si>
  <si>
    <t>140</t>
  </si>
  <si>
    <t>721005</t>
  </si>
  <si>
    <t>D+M vnitřní plynovod objekt A</t>
  </si>
  <si>
    <t>733513093</t>
  </si>
  <si>
    <t>141</t>
  </si>
  <si>
    <t>721006</t>
  </si>
  <si>
    <t>D+M vnitřní plynovod objekt B</t>
  </si>
  <si>
    <t>-228215464</t>
  </si>
  <si>
    <t>731</t>
  </si>
  <si>
    <t xml:space="preserve">Ústřední vytápění </t>
  </si>
  <si>
    <t>142</t>
  </si>
  <si>
    <t>731001</t>
  </si>
  <si>
    <t>ÚT-podlahové vytápění-objekt B</t>
  </si>
  <si>
    <t>2078686295</t>
  </si>
  <si>
    <t>143</t>
  </si>
  <si>
    <t>731002</t>
  </si>
  <si>
    <t>ÚT-podlahové vytápění objekt A</t>
  </si>
  <si>
    <t>-730084629</t>
  </si>
  <si>
    <t>741</t>
  </si>
  <si>
    <t>Elektroinstalace - silnoproud</t>
  </si>
  <si>
    <t>144</t>
  </si>
  <si>
    <t>741001</t>
  </si>
  <si>
    <t xml:space="preserve">D+M vnitřní rozvody silno a slaboproudu vč. hromosvodu a svítidel </t>
  </si>
  <si>
    <t>1982503717</t>
  </si>
  <si>
    <t>751</t>
  </si>
  <si>
    <t>Vzduchotechnika</t>
  </si>
  <si>
    <t>145</t>
  </si>
  <si>
    <t>751001</t>
  </si>
  <si>
    <t>D+M rozvody VZD,větrání   objekt A</t>
  </si>
  <si>
    <t>1204445493</t>
  </si>
  <si>
    <t>146</t>
  </si>
  <si>
    <t>751002</t>
  </si>
  <si>
    <t>772038949</t>
  </si>
  <si>
    <t>762</t>
  </si>
  <si>
    <t>Konstrukce tesařské</t>
  </si>
  <si>
    <t>147</t>
  </si>
  <si>
    <t>762083121</t>
  </si>
  <si>
    <t>Impregnace řeziva proti dřevokaznému hmyzu, houbám a plísním máčením třída ohrožení 1 a 2</t>
  </si>
  <si>
    <t>-489201258</t>
  </si>
  <si>
    <t>148</t>
  </si>
  <si>
    <t>762332132</t>
  </si>
  <si>
    <t>Montáž vázaných kcí krovů pravidelných z hraněného řeziva průřezové plochy do 224 cm2</t>
  </si>
  <si>
    <t>1850524114</t>
  </si>
  <si>
    <t>149</t>
  </si>
  <si>
    <t>60512130</t>
  </si>
  <si>
    <t>hranol stavební řezivo průřezu do 224cm2 do dl 6m</t>
  </si>
  <si>
    <t>-274465907</t>
  </si>
  <si>
    <t>150</t>
  </si>
  <si>
    <t>-822905393</t>
  </si>
  <si>
    <t>151</t>
  </si>
  <si>
    <t>-1171426446</t>
  </si>
  <si>
    <t>152</t>
  </si>
  <si>
    <t>1832262773</t>
  </si>
  <si>
    <t>153</t>
  </si>
  <si>
    <t>999583213</t>
  </si>
  <si>
    <t>154</t>
  </si>
  <si>
    <t>762332134</t>
  </si>
  <si>
    <t>Montáž vázaných kcí krovů pravidelných z hraněného řeziva průřezové plochy do 450 cm2</t>
  </si>
  <si>
    <t>-1742971594</t>
  </si>
  <si>
    <t>155</t>
  </si>
  <si>
    <t>60512140</t>
  </si>
  <si>
    <t>hranol stavební řezivo průřezu do 450cm2 do dl 6m</t>
  </si>
  <si>
    <t>978609693</t>
  </si>
  <si>
    <t>156</t>
  </si>
  <si>
    <t>762332135</t>
  </si>
  <si>
    <t>Montáž vázaných kcí krovů pravidelných z hraněného řeziva průřezové plochy přes 450 cm2</t>
  </si>
  <si>
    <t>-661010641</t>
  </si>
  <si>
    <t>157</t>
  </si>
  <si>
    <t>60512146</t>
  </si>
  <si>
    <t>hranol stavební řezivo průřezu nad 450cm2 dl 6-8m</t>
  </si>
  <si>
    <t>994557086</t>
  </si>
  <si>
    <t>158</t>
  </si>
  <si>
    <t>762341017</t>
  </si>
  <si>
    <t>Bednění střech rovných z desek OSB tl 25 mm na sraz šroubovaných na krokve</t>
  </si>
  <si>
    <t>-511846114</t>
  </si>
  <si>
    <t>159</t>
  </si>
  <si>
    <t>762342441</t>
  </si>
  <si>
    <t>Montáž lišt trojúhelníkových nebo kontralatí na střechách sklonu do 60°</t>
  </si>
  <si>
    <t>-817955947</t>
  </si>
  <si>
    <t>160</t>
  </si>
  <si>
    <t>60514114</t>
  </si>
  <si>
    <t>řezivo jehličnaté lať impregnovaná dl 4 m</t>
  </si>
  <si>
    <t>-1834578074</t>
  </si>
  <si>
    <t>161</t>
  </si>
  <si>
    <t>762395000</t>
  </si>
  <si>
    <t>Spojovací prostředky krovů, bednění, laťování, nadstřešních konstrukcí</t>
  </si>
  <si>
    <t>1094032590</t>
  </si>
  <si>
    <t>162</t>
  </si>
  <si>
    <t>998762202</t>
  </si>
  <si>
    <t>Přesun hmot procentní pro kce tesařské v objektech v do 12 m</t>
  </si>
  <si>
    <t>-510590136</t>
  </si>
  <si>
    <t>763</t>
  </si>
  <si>
    <t>Konstrukce suché výstavby</t>
  </si>
  <si>
    <t>163</t>
  </si>
  <si>
    <t>763131411.KNF</t>
  </si>
  <si>
    <t>SDK podhled D 112 desky 1xWHITE (A) 12,5 bez izolace dvouvrstvá spodní kce profil CD+UD</t>
  </si>
  <si>
    <t>-589884934</t>
  </si>
  <si>
    <t>164</t>
  </si>
  <si>
    <t>763131432</t>
  </si>
  <si>
    <t>SDK podhled deska 1xDF 15 bez izolace dvouvrstvá spodní kce profil CD+UD REI 90</t>
  </si>
  <si>
    <t>1577415886</t>
  </si>
  <si>
    <t>165</t>
  </si>
  <si>
    <t>763131714</t>
  </si>
  <si>
    <t>SDK podhled základní penetrační nátěr</t>
  </si>
  <si>
    <t>1150405204</t>
  </si>
  <si>
    <t>166</t>
  </si>
  <si>
    <t>254784742</t>
  </si>
  <si>
    <t>167</t>
  </si>
  <si>
    <t>998763402</t>
  </si>
  <si>
    <t>Přesun hmot procentní pro sádrokartonové konstrukce v objektech v do 12 m</t>
  </si>
  <si>
    <t>-407978355</t>
  </si>
  <si>
    <t>764</t>
  </si>
  <si>
    <t>Konstrukce klempířské</t>
  </si>
  <si>
    <t>168</t>
  </si>
  <si>
    <t>764001</t>
  </si>
  <si>
    <t>D+M větrací komínky</t>
  </si>
  <si>
    <t>-1807815372</t>
  </si>
  <si>
    <t>169</t>
  </si>
  <si>
    <t>764042419</t>
  </si>
  <si>
    <t>Strukturovaná oddělovací rohož s integrovanou pojistnou hydroizolací jakékoliv rš</t>
  </si>
  <si>
    <t>-12173536</t>
  </si>
  <si>
    <t>170</t>
  </si>
  <si>
    <t>764121411</t>
  </si>
  <si>
    <t>Krytina střechy rovné drážkováním ze svitků z Al plechu rš 670 mm sklonu do 30°</t>
  </si>
  <si>
    <t>15191454</t>
  </si>
  <si>
    <t>171</t>
  </si>
  <si>
    <t>764213456</t>
  </si>
  <si>
    <t>Sněhový zachytávač krytiny z Pz plechu průběžný dvoutrubkový</t>
  </si>
  <si>
    <t>-1905883177</t>
  </si>
  <si>
    <t>172</t>
  </si>
  <si>
    <t>764222407</t>
  </si>
  <si>
    <t>Oplechování štítu závětrnou lištou z Al plechu rš 670 mm</t>
  </si>
  <si>
    <t>-223517658</t>
  </si>
  <si>
    <t>173</t>
  </si>
  <si>
    <t>764222435</t>
  </si>
  <si>
    <t>Oplechování rovné okapové hrany z Al plechu rš 400 mm</t>
  </si>
  <si>
    <t>-523332768</t>
  </si>
  <si>
    <t>174</t>
  </si>
  <si>
    <t>764224406</t>
  </si>
  <si>
    <t>Oplechování horních ploch a nadezdívek (atik) bez rohů z Al plechu mechanicky kotvené rš 500 mm</t>
  </si>
  <si>
    <t>-9012247</t>
  </si>
  <si>
    <t>175</t>
  </si>
  <si>
    <t>764224411</t>
  </si>
  <si>
    <t>Oplechování horních ploch a nadezdívek (atik) bez rohů z Al plechu mechanicky kotvené rš přes 800 mm</t>
  </si>
  <si>
    <t>-1971718580</t>
  </si>
  <si>
    <t>176</t>
  </si>
  <si>
    <t>764226444</t>
  </si>
  <si>
    <t>Oplechování parapetů rovných celoplošně lepené z Al plechu rš 330 mm</t>
  </si>
  <si>
    <t>-1707961524</t>
  </si>
  <si>
    <t>177</t>
  </si>
  <si>
    <t>764521415</t>
  </si>
  <si>
    <t>Žlab podokapní hranatý z Al plechu rš 400 mm</t>
  </si>
  <si>
    <t>1053662325</t>
  </si>
  <si>
    <t>178</t>
  </si>
  <si>
    <t>764521464</t>
  </si>
  <si>
    <t>Kotlík hranatý pro podokapní žlaby z Al plechu 330/100 mm</t>
  </si>
  <si>
    <t>681727554</t>
  </si>
  <si>
    <t>179</t>
  </si>
  <si>
    <t>764528402</t>
  </si>
  <si>
    <t>Svody hranaté včetně objímek, kolen, odskoků z Al plechu o straně 100 mm</t>
  </si>
  <si>
    <t>-953887558</t>
  </si>
  <si>
    <t>180</t>
  </si>
  <si>
    <t>998764202</t>
  </si>
  <si>
    <t>Přesun hmot procentní pro konstrukce klempířské v objektech v do 12 m</t>
  </si>
  <si>
    <t>-370523192</t>
  </si>
  <si>
    <t>766</t>
  </si>
  <si>
    <t>Konstrukce truhlářské</t>
  </si>
  <si>
    <t>181</t>
  </si>
  <si>
    <t>766001</t>
  </si>
  <si>
    <t>D+M dveře vnitřní dřevěné otočné hladké povrch HPL 1300*2200 vč.  vč. ocelové zárubně a kování 2  vč.samozavírače</t>
  </si>
  <si>
    <t>878532795</t>
  </si>
  <si>
    <t>182</t>
  </si>
  <si>
    <t>766002</t>
  </si>
  <si>
    <t>dtto,avšak 1 kř.1000/2200mms P</t>
  </si>
  <si>
    <t>1187498166</t>
  </si>
  <si>
    <t>183</t>
  </si>
  <si>
    <t>766002a</t>
  </si>
  <si>
    <t>dtto,avšak 900/2200mm</t>
  </si>
  <si>
    <t>-467648101</t>
  </si>
  <si>
    <t>184</t>
  </si>
  <si>
    <t>766002b</t>
  </si>
  <si>
    <t>dtto,avšak 750/2200mm</t>
  </si>
  <si>
    <t>-367542481</t>
  </si>
  <si>
    <t>185</t>
  </si>
  <si>
    <t>766003</t>
  </si>
  <si>
    <t>dtto,avšak posuvné vč. stav. pouzdra 1000/2200mm s P0 30 min.</t>
  </si>
  <si>
    <t>-1767293090</t>
  </si>
  <si>
    <t>186</t>
  </si>
  <si>
    <t>766004</t>
  </si>
  <si>
    <t>dtto,avšak 1100/2200mm</t>
  </si>
  <si>
    <t>-1355107878</t>
  </si>
  <si>
    <t>187</t>
  </si>
  <si>
    <t>766005</t>
  </si>
  <si>
    <t>dtto,avšak 1550/2200mm</t>
  </si>
  <si>
    <t>-1279076938</t>
  </si>
  <si>
    <t>188</t>
  </si>
  <si>
    <t>766006</t>
  </si>
  <si>
    <t xml:space="preserve">D+M madlo vnitřního schodiště dub DN 50mm vč. nerez kotvení </t>
  </si>
  <si>
    <t>1980650599</t>
  </si>
  <si>
    <t>234</t>
  </si>
  <si>
    <t>766007</t>
  </si>
  <si>
    <t>Zabudovaný atypický nábytek</t>
  </si>
  <si>
    <t>1608865941</t>
  </si>
  <si>
    <t>"schema T01-T19"  1</t>
  </si>
  <si>
    <t>237</t>
  </si>
  <si>
    <t>766008</t>
  </si>
  <si>
    <t>D+M dveře vnitřní dřevěné s PO EW 15 DP3 rozměr 1300/2200 a 1000/2200mm</t>
  </si>
  <si>
    <t>-1919022211</t>
  </si>
  <si>
    <t>189</t>
  </si>
  <si>
    <t>998766202</t>
  </si>
  <si>
    <t>Přesun hmot procentní pro konstrukce truhlářské v objektech v do 12 m</t>
  </si>
  <si>
    <t>585583940</t>
  </si>
  <si>
    <t>767</t>
  </si>
  <si>
    <t>Konstrukce zámečnické</t>
  </si>
  <si>
    <t>190</t>
  </si>
  <si>
    <t>767001</t>
  </si>
  <si>
    <t xml:space="preserve">D+M okna a vstupní dveře hliníkové zasklení izolačním trojsklem vč. kování a vnitřních parapetů </t>
  </si>
  <si>
    <t>1502535871</t>
  </si>
  <si>
    <t>191</t>
  </si>
  <si>
    <t>767002</t>
  </si>
  <si>
    <t xml:space="preserve">D+M dveře vnitřní hliníkové bezrámové celoskleněné </t>
  </si>
  <si>
    <t>1237768836</t>
  </si>
  <si>
    <t>192</t>
  </si>
  <si>
    <t>767002a</t>
  </si>
  <si>
    <t xml:space="preserve">D+M dveře do vestibulu automatické posuvné </t>
  </si>
  <si>
    <t>2037457190</t>
  </si>
  <si>
    <t>193</t>
  </si>
  <si>
    <t>767003</t>
  </si>
  <si>
    <t>D+M venkovní žaluzie hliník vč. kování</t>
  </si>
  <si>
    <t>16543222</t>
  </si>
  <si>
    <t>194</t>
  </si>
  <si>
    <t>767004</t>
  </si>
  <si>
    <t>D+M hliníková pergola před altánem</t>
  </si>
  <si>
    <t>783248323</t>
  </si>
  <si>
    <t>195</t>
  </si>
  <si>
    <t>767006</t>
  </si>
  <si>
    <t>D+M ocelové prvky stropu nad 1NP</t>
  </si>
  <si>
    <t>kg</t>
  </si>
  <si>
    <t>-1610101480</t>
  </si>
  <si>
    <t>196</t>
  </si>
  <si>
    <t>767007</t>
  </si>
  <si>
    <t>D+M ocelové prvky stropu nad 2NP</t>
  </si>
  <si>
    <t>689572632</t>
  </si>
  <si>
    <t>197</t>
  </si>
  <si>
    <t>767008</t>
  </si>
  <si>
    <t xml:space="preserve">D+M automatická posuvná brána samonosná 4305/900mm </t>
  </si>
  <si>
    <t>100782925</t>
  </si>
  <si>
    <t>198</t>
  </si>
  <si>
    <t>767009</t>
  </si>
  <si>
    <t>D+M hliníková branka v oplocení u prádelny 1050/900mm</t>
  </si>
  <si>
    <t>1341599471</t>
  </si>
  <si>
    <t>199</t>
  </si>
  <si>
    <t>767010</t>
  </si>
  <si>
    <t>D+M hliníková brána ke vstupu na pozemek 1627 vel. 2600/1900mm</t>
  </si>
  <si>
    <t>-1043808304</t>
  </si>
  <si>
    <t>200</t>
  </si>
  <si>
    <t>767011</t>
  </si>
  <si>
    <t xml:space="preserve">D+M poštovní schránka ocelová galvanicky pozinkovaná </t>
  </si>
  <si>
    <t>1437177469</t>
  </si>
  <si>
    <t>"schema V06"   1</t>
  </si>
  <si>
    <t>201</t>
  </si>
  <si>
    <t>767012</t>
  </si>
  <si>
    <t>D+M skleněná sprchová zástěna  s dvířky 1360/2200</t>
  </si>
  <si>
    <t>-485123813</t>
  </si>
  <si>
    <t>202</t>
  </si>
  <si>
    <t>767013</t>
  </si>
  <si>
    <t xml:space="preserve">D+M vnější čistící zona -kovová rohož s čistícími kartáčky v hliníkovém rámu </t>
  </si>
  <si>
    <t>-697055615</t>
  </si>
  <si>
    <t>203</t>
  </si>
  <si>
    <t>767014</t>
  </si>
  <si>
    <t>D+M posuvná akustická příčka rám hliník výplň HPL 7500/2750mm</t>
  </si>
  <si>
    <t>-1982203234</t>
  </si>
  <si>
    <t>"schema VN 3"  1</t>
  </si>
  <si>
    <t>204</t>
  </si>
  <si>
    <t>767015</t>
  </si>
  <si>
    <t>D+M skleněná sprchová zástěna pevná sklo bezpečnostní 1200/2750mm</t>
  </si>
  <si>
    <t>278613774</t>
  </si>
  <si>
    <t>205</t>
  </si>
  <si>
    <t>767016</t>
  </si>
  <si>
    <t xml:space="preserve">D+M zábradlí vnitřního schodiště kovové vč. skleněné výplně sklem bezpečnostním kaleným tl.24mm výška 1300mm </t>
  </si>
  <si>
    <t>-1705341624</t>
  </si>
  <si>
    <t>206</t>
  </si>
  <si>
    <t>998767202</t>
  </si>
  <si>
    <t>Přesun hmot procentní pro zámečnické konstrukce v objektech v do 12 m</t>
  </si>
  <si>
    <t>-1084517037</t>
  </si>
  <si>
    <t>771</t>
  </si>
  <si>
    <t>Podlahy z dlaždic</t>
  </si>
  <si>
    <t>207</t>
  </si>
  <si>
    <t>771121011</t>
  </si>
  <si>
    <t>Nátěr penetrační na podlahu</t>
  </si>
  <si>
    <t>-824746909</t>
  </si>
  <si>
    <t>208</t>
  </si>
  <si>
    <t>771151011</t>
  </si>
  <si>
    <t>Samonivelační stěrka podlah pevnosti 20 MPa tl 3 mm</t>
  </si>
  <si>
    <t>-536988523</t>
  </si>
  <si>
    <t>209</t>
  </si>
  <si>
    <t>771574112</t>
  </si>
  <si>
    <t>Montáž podlah keramických hladkých lepených flexibilním lepidlem do 12 ks/ m2</t>
  </si>
  <si>
    <t>2126689959</t>
  </si>
  <si>
    <t>210</t>
  </si>
  <si>
    <t>59761003</t>
  </si>
  <si>
    <t>dlažba keramická hutná hladká do interiéru přes 9 do 12ks/m2</t>
  </si>
  <si>
    <t>1399831147</t>
  </si>
  <si>
    <t>21,73756*1,1 'Přepočtené koeficientem množství</t>
  </si>
  <si>
    <t>211</t>
  </si>
  <si>
    <t>998771202</t>
  </si>
  <si>
    <t>Přesun hmot procentní pro podlahy z dlaždic v objektech v do 12 m</t>
  </si>
  <si>
    <t>-62615782</t>
  </si>
  <si>
    <t>776</t>
  </si>
  <si>
    <t>Podlahy povlakové</t>
  </si>
  <si>
    <t>212</t>
  </si>
  <si>
    <t>776121111</t>
  </si>
  <si>
    <t>Vodou ředitelná penetrace savého podkladu povlakových podlah ředěná v poměru 1:3</t>
  </si>
  <si>
    <t>1522394695</t>
  </si>
  <si>
    <t>213</t>
  </si>
  <si>
    <t>776141111</t>
  </si>
  <si>
    <t>Vyrovnání podkladu povlakových podlah stěrkou pevnosti 20 MPa tl 3 mm</t>
  </si>
  <si>
    <t>94111764</t>
  </si>
  <si>
    <t>214</t>
  </si>
  <si>
    <t>776223111</t>
  </si>
  <si>
    <t>Spoj povlakových podlahovin z PVC svařováním za tepla</t>
  </si>
  <si>
    <t>1584150783</t>
  </si>
  <si>
    <t>215</t>
  </si>
  <si>
    <t>776231111</t>
  </si>
  <si>
    <t>Lepení lamel a čtverců z vinylu standardním lepidlem</t>
  </si>
  <si>
    <t>948976217</t>
  </si>
  <si>
    <t>216</t>
  </si>
  <si>
    <t>28411050</t>
  </si>
  <si>
    <t>dílce vinylové tl 2,0mm, nášlapná vrstva 0,40mm, úprava PUR, třída zátěže 23/32/41, otlak 0,05mm, R10, třída otěru T, hořlavost Bfl S1, bez ftalátů</t>
  </si>
  <si>
    <t>1878842070</t>
  </si>
  <si>
    <t>565,39912*1,1 'Přepočtené koeficientem množství</t>
  </si>
  <si>
    <t>217</t>
  </si>
  <si>
    <t>776241111</t>
  </si>
  <si>
    <t>Lepení hladkých (bez vzoru) pásů ze sametového vinylu</t>
  </si>
  <si>
    <t>-694079358</t>
  </si>
  <si>
    <t>218</t>
  </si>
  <si>
    <t>28411080</t>
  </si>
  <si>
    <t>vinyl sametový vyrobený systémem vločkování tl 4,3mm, nylon 6.6, hustota vlákna 70mil/m2, zátěž 33, R10, hořlavost Bfl S1, útlum 20dB</t>
  </si>
  <si>
    <t>653831708</t>
  </si>
  <si>
    <t>542,26744*1,1 'Přepočtené koeficientem množství</t>
  </si>
  <si>
    <t>219</t>
  </si>
  <si>
    <t>998776202</t>
  </si>
  <si>
    <t>Přesun hmot procentní pro podlahy povlakové v objektech v do 12 m</t>
  </si>
  <si>
    <t>1453827944</t>
  </si>
  <si>
    <t>781</t>
  </si>
  <si>
    <t>Dokončovací práce - obklady</t>
  </si>
  <si>
    <t>220</t>
  </si>
  <si>
    <t>781121011</t>
  </si>
  <si>
    <t>Nátěr penetrační na stěnu</t>
  </si>
  <si>
    <t>-926493156</t>
  </si>
  <si>
    <t>221</t>
  </si>
  <si>
    <t>781474112</t>
  </si>
  <si>
    <t>Montáž obkladů vnitřních keramických hladkých do 12 ks/m2 lepených flexibilním lepidlem</t>
  </si>
  <si>
    <t>-1438779502</t>
  </si>
  <si>
    <t>222</t>
  </si>
  <si>
    <t>59761026</t>
  </si>
  <si>
    <t>obklad keramický hladký do 12ks/m2</t>
  </si>
  <si>
    <t>1603476244</t>
  </si>
  <si>
    <t>365,70768*1,1 'Přepočtené koeficientem množství</t>
  </si>
  <si>
    <t>223</t>
  </si>
  <si>
    <t>781494511</t>
  </si>
  <si>
    <t>Plastové profily ukončovací lepené flexibilním lepidlem</t>
  </si>
  <si>
    <t>1495388764</t>
  </si>
  <si>
    <t>224</t>
  </si>
  <si>
    <t>998781202</t>
  </si>
  <si>
    <t>Přesun hmot procentní pro obklady keramické v objektech v do 12 m</t>
  </si>
  <si>
    <t>-1106160731</t>
  </si>
  <si>
    <t>784</t>
  </si>
  <si>
    <t>Dokončovací práce - malby a tapety</t>
  </si>
  <si>
    <t>225</t>
  </si>
  <si>
    <t>784181101</t>
  </si>
  <si>
    <t>Základní akrylátová jednonásobná bezbarvá penetrace podkladu v místnostech výšky do 3,80 m</t>
  </si>
  <si>
    <t>-1303973257</t>
  </si>
  <si>
    <t>226</t>
  </si>
  <si>
    <t>784211111</t>
  </si>
  <si>
    <t>Dvojnásobné bílé malby ze směsí za mokra velmi dobře otěruvzdorných v místnostech výšky do 3,80 m</t>
  </si>
  <si>
    <t>-1560975993</t>
  </si>
  <si>
    <t>VRN</t>
  </si>
  <si>
    <t>Vedlejší rozpočtové náklady</t>
  </si>
  <si>
    <t>VRN1</t>
  </si>
  <si>
    <t>Průzkumné, geodetické a projektové práce</t>
  </si>
  <si>
    <t>227</t>
  </si>
  <si>
    <t>012002000</t>
  </si>
  <si>
    <t>Geodetické práce-vytýčení stavby a inžen. sítí,geometr. plán pro vklad do KN</t>
  </si>
  <si>
    <t>soubor</t>
  </si>
  <si>
    <t>1024</t>
  </si>
  <si>
    <t>-510462046</t>
  </si>
  <si>
    <t>228</t>
  </si>
  <si>
    <t>013002000</t>
  </si>
  <si>
    <t>Projektové práce-dokumentace skutečného provedení</t>
  </si>
  <si>
    <t>96222969</t>
  </si>
  <si>
    <t>VRN3</t>
  </si>
  <si>
    <t>Zařízení staveniště</t>
  </si>
  <si>
    <t>229</t>
  </si>
  <si>
    <t>032002000</t>
  </si>
  <si>
    <t>Vybavení staveniště-mobilní WC,sklad,kancelář,zdvihací mechanizmy</t>
  </si>
  <si>
    <t>-380980714</t>
  </si>
  <si>
    <t>230</t>
  </si>
  <si>
    <t>033002000</t>
  </si>
  <si>
    <t>Připojení staveniště na inženýrské sítě-voda,elektro</t>
  </si>
  <si>
    <t>1473517074</t>
  </si>
  <si>
    <t>231</t>
  </si>
  <si>
    <t>034002000</t>
  </si>
  <si>
    <t>Zabezpečení staveniště-výkopové práce,provizorní oplocení</t>
  </si>
  <si>
    <t>-389701188</t>
  </si>
  <si>
    <t>232</t>
  </si>
  <si>
    <t>039002000</t>
  </si>
  <si>
    <t>Zrušení zařízení staveniště</t>
  </si>
  <si>
    <t>1124722052</t>
  </si>
  <si>
    <t>VRN4</t>
  </si>
  <si>
    <t>Inženýrská činnost</t>
  </si>
  <si>
    <t>233</t>
  </si>
  <si>
    <t>043002000</t>
  </si>
  <si>
    <t>Zkoušky a ostatní měření</t>
  </si>
  <si>
    <t>258087990</t>
  </si>
  <si>
    <t>JC-B - Objekt B</t>
  </si>
  <si>
    <t>51,97632*1,02 'Přepočtené koeficientem množství</t>
  </si>
  <si>
    <t>604,8*1,05 'Přepočtené koeficientem množství</t>
  </si>
  <si>
    <t>877,37952*1,02 'Přepočtené koeficientem množství</t>
  </si>
  <si>
    <t>103,2*1,05 'Přepočtené koeficientem množství</t>
  </si>
  <si>
    <t>1431,936*0,00033 'Přepočtené koeficientem množství</t>
  </si>
  <si>
    <t>121,9296*0,00034 'Přepočtené koeficientem množství</t>
  </si>
  <si>
    <t>1431,936*1,1655 'Přepočtené koeficientem množství</t>
  </si>
  <si>
    <t>121,9296*1,221 'Přepočtené koeficientem množství</t>
  </si>
  <si>
    <t>172,5648*0,00032 'Přepočtené koeficientem množství</t>
  </si>
  <si>
    <t>158,3568*1,1655 'Přepočtené koeficientem množství</t>
  </si>
  <si>
    <t>129,9408*1,1655 'Přepočtené koeficientem množství</t>
  </si>
  <si>
    <t>129,9408*1,15 'Přepočtené koeficientem množství</t>
  </si>
  <si>
    <t>129,9408*0,0825 'Přepočtené koeficientem množství</t>
  </si>
  <si>
    <t>1299,408*0,0165 'Přepočtené koeficientem množství</t>
  </si>
  <si>
    <t>650,88*1,02 'Přepočtené koeficientem množství</t>
  </si>
  <si>
    <t>394,416*1,02 'Přepočtené koeficientem množství</t>
  </si>
  <si>
    <t>73,15776*1,05 'Přepočtené koeficientem množství</t>
  </si>
  <si>
    <t>142,93488*1,02 'Přepočtené koeficientem množství</t>
  </si>
  <si>
    <t>14,208*1,02 'Přepočtené koeficientem množství</t>
  </si>
  <si>
    <t>689,47776*1,02 'Přepočtené koeficientem množství</t>
  </si>
  <si>
    <t xml:space="preserve">D+M vnitřní rozvody vody a kanalizace vč. zařiz. předmětů objekt B </t>
  </si>
  <si>
    <t>D+M plynovodní přípojka vč. zemních prací objekt B</t>
  </si>
  <si>
    <t>dtto,avšak objekt A</t>
  </si>
  <si>
    <t>D+M rozvody VZD,větrání objekt B</t>
  </si>
  <si>
    <t xml:space="preserve">Zabudovaný atypický nábytek </t>
  </si>
  <si>
    <t>1064497280</t>
  </si>
  <si>
    <t>"schema T01-T16"  1</t>
  </si>
  <si>
    <t>D+M dveře vnitřní dřevěné s PO EW 15 DP3 rozměr 1300/2200mm a 1000/2200mm</t>
  </si>
  <si>
    <t>-1724401940</t>
  </si>
  <si>
    <t>20,06544*1,1 'Přepočtené koeficientem množství</t>
  </si>
  <si>
    <t>521,90688*1,1 'Přepočtené koeficientem množství</t>
  </si>
  <si>
    <t>500,55456*1,1 'Přepočtené koeficientem množství</t>
  </si>
  <si>
    <t>337,57632*1,1 'Přepočtené koeficientem množství</t>
  </si>
  <si>
    <t>JC-C - SO-03-Zpevněné plochy</t>
  </si>
  <si>
    <t>122251106</t>
  </si>
  <si>
    <t>Odkopávky a prokopávky nezapažené v hornině třídy těžitelnosti I skupiny 3 objem do 5000 m3 strojně</t>
  </si>
  <si>
    <t>1710505836</t>
  </si>
  <si>
    <t>Vodorovné přemístění přes 9 000 do 10000 m výkopku/sypaniny z horniny třídy těžitelnosti I skupiny 1 až 3</t>
  </si>
  <si>
    <t>807578722</t>
  </si>
  <si>
    <t>Nakládání výkopku z hornin třídy těžitelnosti I skupiny 1 až 3 přes 100 m3</t>
  </si>
  <si>
    <t>2016357975</t>
  </si>
  <si>
    <t>294457297</t>
  </si>
  <si>
    <t>1200,0*1,8</t>
  </si>
  <si>
    <t>603698314</t>
  </si>
  <si>
    <t>212751106</t>
  </si>
  <si>
    <t>Trativod z drenážních trubek flexibilních PVC-U SN 4 perforace 360° včetně lože otevřený výkop DN 160 pro meliorace</t>
  </si>
  <si>
    <t>457233091</t>
  </si>
  <si>
    <t>637311131</t>
  </si>
  <si>
    <t>Okapový chodník z betonových záhonových obrubníků lože beton</t>
  </si>
  <si>
    <t>-450665750</t>
  </si>
  <si>
    <t xml:space="preserve">D+M obrubník z ocelové pásoviny 100/60 pro mlatové cesty </t>
  </si>
  <si>
    <t>-868819031</t>
  </si>
  <si>
    <t>915002</t>
  </si>
  <si>
    <t xml:space="preserve">D+M liniový odvodň. žlab 200/210mmvč. mřížky a vpustí </t>
  </si>
  <si>
    <t>-723161133</t>
  </si>
  <si>
    <t xml:space="preserve">D+M betonová dlažba pro nevidomé </t>
  </si>
  <si>
    <t>-234395816</t>
  </si>
  <si>
    <t xml:space="preserve">D+M betonová dlažba vč. podkl. vrstev a zemních prací 60/90/70-110mm </t>
  </si>
  <si>
    <t>-201384883</t>
  </si>
  <si>
    <t>D+M betonová dlažba 500/500mm tl.120mm vč. podkl. vrstev a zemních prací</t>
  </si>
  <si>
    <t>951526530</t>
  </si>
  <si>
    <t xml:space="preserve">D+M poklop litinový šachtový beton C250 </t>
  </si>
  <si>
    <t>-383611446</t>
  </si>
  <si>
    <t>D+M betonová dlažba 500/500/50mm vč. podkl. vrstev</t>
  </si>
  <si>
    <t>232670256</t>
  </si>
  <si>
    <t>"skladba ZP1"  615,0</t>
  </si>
  <si>
    <t xml:space="preserve">D+M pojezdová zasakovací betonová dlažba 80/200/200mm do 12t vč. podkl. vrstev </t>
  </si>
  <si>
    <t>-804205372</t>
  </si>
  <si>
    <t>"skladba ZP3"  290,0</t>
  </si>
  <si>
    <t xml:space="preserve">D+M dřevěná terasa pochozí dřevěná z prken Bangkirai na podkl. hranoly z tropického dřeva 40/70mm </t>
  </si>
  <si>
    <t>1215700936</t>
  </si>
  <si>
    <t>"skladba ZP4"  95,0</t>
  </si>
  <si>
    <t>D+M pochozí mlatové cesty parkové z lomové výsivky vč. podkl. vrstev tl.50mm</t>
  </si>
  <si>
    <t>-386331102</t>
  </si>
  <si>
    <t>"skladba ZP5"  310,0</t>
  </si>
  <si>
    <t>916131213</t>
  </si>
  <si>
    <t>Osazení silničního obrubníku betonového stojatého s boční opěrou do lože z betonu prostého</t>
  </si>
  <si>
    <t>-394735826</t>
  </si>
  <si>
    <t>120,0</t>
  </si>
  <si>
    <t>180,0</t>
  </si>
  <si>
    <t>Součet</t>
  </si>
  <si>
    <t>59217028</t>
  </si>
  <si>
    <t>obrubník betonový silniční nájezdový 500x150x150mm</t>
  </si>
  <si>
    <t>1991237780</t>
  </si>
  <si>
    <t>180*1,02 'Přepočtené koeficientem množství</t>
  </si>
  <si>
    <t>59217034</t>
  </si>
  <si>
    <t>obrubník betonový silniční 1000x150x300mm</t>
  </si>
  <si>
    <t>-1151458475</t>
  </si>
  <si>
    <t>120*1,02 'Přepočtené koeficientem množství</t>
  </si>
  <si>
    <t>916231213</t>
  </si>
  <si>
    <t>Osazení chodníkového obrubníku betonového stojatého s boční opěrou do lože z betonu prostého</t>
  </si>
  <si>
    <t>-281773439</t>
  </si>
  <si>
    <t>59217036</t>
  </si>
  <si>
    <t>obrubník betonový parkový přírodní 500x80x250mm</t>
  </si>
  <si>
    <t>-1598060427</t>
  </si>
  <si>
    <t>360*1,02 'Přepočtené koeficientem množství</t>
  </si>
  <si>
    <t>919726124</t>
  </si>
  <si>
    <t>Geotextilie pro ochranu, separaci a filtraci netkaná měrná hm přes 500 do 800 g/m2</t>
  </si>
  <si>
    <t>1386621802</t>
  </si>
  <si>
    <t>919726126</t>
  </si>
  <si>
    <t>Geotextilie pro ochranu, separaci a filtraci netkaná měrná hm přes 1000 do 1200 g/m2</t>
  </si>
  <si>
    <t>1242950676</t>
  </si>
  <si>
    <t>1519794112</t>
  </si>
  <si>
    <t>512</t>
  </si>
  <si>
    <t>hod</t>
  </si>
  <si>
    <t>Hodinové zúčtovací sazby profesí PSV  provádění stavebních instalací instalatér odborný</t>
  </si>
  <si>
    <t>HZS2212</t>
  </si>
  <si>
    <t>Hodinové zúčtovací sazby</t>
  </si>
  <si>
    <t>HZS</t>
  </si>
  <si>
    <t>2135973055</t>
  </si>
  <si>
    <t>Přesun hmot pro otopná tělesa  stanovený z hmotnosti přesunovaného materiálu vodorovná dopravní vzdálenost do 50 m v objektech výšky do 6 m</t>
  </si>
  <si>
    <t>998735101</t>
  </si>
  <si>
    <t>1021278362</t>
  </si>
  <si>
    <t>Trubkové teplovodní podlahové vytápění připojovací šroubení rozdělovače, potrubí 18x2,0 mm</t>
  </si>
  <si>
    <t>735511139</t>
  </si>
  <si>
    <t>-1397485786</t>
  </si>
  <si>
    <t>Trubkové teplovodní podlahové vytápění připojovací šroubení rozdělovače, potrubí 17x2,0 mm</t>
  </si>
  <si>
    <t>735511138</t>
  </si>
  <si>
    <t>1411183368</t>
  </si>
  <si>
    <t>Trubkové teplovodní podlahové vytápění skříně rozdělovače pod omítku, pro rozdělovač s počtem okruhů 6-9</t>
  </si>
  <si>
    <t>735511103</t>
  </si>
  <si>
    <t>-28103129</t>
  </si>
  <si>
    <t>Trubkové teplovodní podlahové vytápění rozdělovače mosazné s průtokoměry devítiokruhové</t>
  </si>
  <si>
    <t>735511088</t>
  </si>
  <si>
    <t>-552793664</t>
  </si>
  <si>
    <t>Trubkové teplovodní podlahové vytápění rozdělovače mosazné s průtokoměry osmiokruhové</t>
  </si>
  <si>
    <t>735511087</t>
  </si>
  <si>
    <t>-770541609</t>
  </si>
  <si>
    <t>Trubkové teplovodní podlahové vytápění rozdělovače mosazné s průtokoměry sedmiokruhové</t>
  </si>
  <si>
    <t>735511086</t>
  </si>
  <si>
    <t>-1353525937</t>
  </si>
  <si>
    <t>Trubkové teplovodní podlahové vytápění rozdělovače mosazné s průtokoměry šestiokruhové</t>
  </si>
  <si>
    <t>735511085</t>
  </si>
  <si>
    <t>"1NP" 850</t>
  </si>
  <si>
    <t>142615023</t>
  </si>
  <si>
    <t>Trubkové teplovodní podlahové vytápění rozvod s uchycením ve vodící liště potrubí polybutylen rozvodné potrubí 18x2 mm, rozteč 150 mm</t>
  </si>
  <si>
    <t>735511073</t>
  </si>
  <si>
    <t>261434704</t>
  </si>
  <si>
    <t>Trubkové teplovodní podlahové vytápění doplňkové prvky spárový (dilatační) profil</t>
  </si>
  <si>
    <t>735511064</t>
  </si>
  <si>
    <t>-1300466219</t>
  </si>
  <si>
    <t>Trubkové teplovodní podlahové vytápění doplňkové prvky ochranná trubka</t>
  </si>
  <si>
    <t>735511063</t>
  </si>
  <si>
    <t>-1669052121</t>
  </si>
  <si>
    <t>Trubkové teplovodní podlahové vytápění doplňkové prvky okrajový izolační pruh</t>
  </si>
  <si>
    <t>735511062</t>
  </si>
  <si>
    <t>-1706293639</t>
  </si>
  <si>
    <t>Trubkové teplovodní podlahové vytápění rozvod v systémové desce systémová deska s tepelnou izolací, celkové výšky 31 mm</t>
  </si>
  <si>
    <t>735511026</t>
  </si>
  <si>
    <t>"1NP" 170</t>
  </si>
  <si>
    <t>-385310932</t>
  </si>
  <si>
    <t>Trubkové teplovodní podlahové vytápění rozvod v systémové desce potrubí polyethylen PE-Xa rozvodné potrubí 17x2 mm, rozteč 250 mm</t>
  </si>
  <si>
    <t>735511011</t>
  </si>
  <si>
    <t>"2NP" 3000</t>
  </si>
  <si>
    <t>"1NP" 4600</t>
  </si>
  <si>
    <t>-1785202744</t>
  </si>
  <si>
    <t>Trubkové teplovodní podlahové vytápění rozvod v systémové desce potrubí polyethylen PE-Xa rozvodné potrubí 17x2 mm, rozteč 150 mm</t>
  </si>
  <si>
    <t>735511010</t>
  </si>
  <si>
    <t>"2NP" 300</t>
  </si>
  <si>
    <t>"1NP" 800</t>
  </si>
  <si>
    <t>405028775</t>
  </si>
  <si>
    <t>Trubkové teplovodní podlahové vytápění rozvod v systémové desce potrubí polyethylen PE-Xa rozvodné potrubí 17x2 mm, rozteč 100 mm</t>
  </si>
  <si>
    <t>735511007</t>
  </si>
  <si>
    <t>1344344362</t>
  </si>
  <si>
    <t>Ostatní opravy otopných těles  odvzdušnění tělesa</t>
  </si>
  <si>
    <t>735191905</t>
  </si>
  <si>
    <t>731009584</t>
  </si>
  <si>
    <t>těleso trubkové koupelnové 1810x750mm 800W</t>
  </si>
  <si>
    <t>54153074</t>
  </si>
  <si>
    <t>-2007069401</t>
  </si>
  <si>
    <t>Otopná tělesa trubková montáž těles na stěnu výšky tělesa přes 1500 mm</t>
  </si>
  <si>
    <t>735164512</t>
  </si>
  <si>
    <t>-1777301261</t>
  </si>
  <si>
    <t>Regulace otopného systému při opravách  vyregulování dvojregulačních ventilů a kohoutů s termostatickým ovládáním</t>
  </si>
  <si>
    <t>735000912</t>
  </si>
  <si>
    <t>-564091274</t>
  </si>
  <si>
    <t>Regulace otopného systému při opravách  vyregulování dvojregulačních ventilů a kohoutů s ručním ovládáním</t>
  </si>
  <si>
    <t>735000911</t>
  </si>
  <si>
    <t>Ústřední vytápění - otopná tělesa</t>
  </si>
  <si>
    <t>735</t>
  </si>
  <si>
    <t>-32583867</t>
  </si>
  <si>
    <t>Přesun hmot pro armatury  stanovený z hmotnosti přesunovaného materiálu vodorovná dopravní vzdálenost do 50 m v objektech výšky do 6 m</t>
  </si>
  <si>
    <t>998734101</t>
  </si>
  <si>
    <t>-1230773169</t>
  </si>
  <si>
    <t>Tlakoměry kondenzační smyčky k přivaření, PN 250 do 300°C zahnuté</t>
  </si>
  <si>
    <t>734424101</t>
  </si>
  <si>
    <t>1593965708</t>
  </si>
  <si>
    <t>Tlakoměry s pevným stonkem a zpětnou klapkou spodní připojení (radiální) tlaku 0–16 bar průměru 50 mm</t>
  </si>
  <si>
    <t>734421101</t>
  </si>
  <si>
    <t>-559061226</t>
  </si>
  <si>
    <t>Teploměry technické s pevným stonkem a jímkou zadní připojení (axiální) průměr 63 mm délka stonku 50 mm</t>
  </si>
  <si>
    <t>734411101</t>
  </si>
  <si>
    <t>-1090078784</t>
  </si>
  <si>
    <t>Směšovací armatury otopných a chladících systémů ventily závitové PN 10 T= 120°C třícestné se servomotorem G 5/4</t>
  </si>
  <si>
    <t>734295023</t>
  </si>
  <si>
    <t>-543485988</t>
  </si>
  <si>
    <t>Ostatní armatury kulové kohouty PN 42 do 185°C plnoprůtokové vnitřní závit G 2</t>
  </si>
  <si>
    <t>734292777</t>
  </si>
  <si>
    <t>-202254681</t>
  </si>
  <si>
    <t>Ostatní armatury kulové kohouty PN 42 do 185°C plnoprůtokové vnitřní závit G 1 1/4</t>
  </si>
  <si>
    <t>734292775</t>
  </si>
  <si>
    <t>-1461598356</t>
  </si>
  <si>
    <t>Ostatní armatury kulové kohouty PN 42 do 185°C plnoprůtokové vnitřní závit G 1</t>
  </si>
  <si>
    <t>734292774</t>
  </si>
  <si>
    <t>156835741</t>
  </si>
  <si>
    <t>Ostatní armatury kulové kohouty PN 42 do 185°C plnoprůtokové vnitřní závit G 1/2</t>
  </si>
  <si>
    <t>734292772</t>
  </si>
  <si>
    <t>-1492235307</t>
  </si>
  <si>
    <t>Ostatní armatury filtry závitové PN 30 do 110°C přímé s vnitřními závity G 1 1/4</t>
  </si>
  <si>
    <t>734291265</t>
  </si>
  <si>
    <t>1972883892</t>
  </si>
  <si>
    <t>Ostatní armatury filtry závitové PN 16 do 130°C přímé s vnitřními závity G 2</t>
  </si>
  <si>
    <t>734291247</t>
  </si>
  <si>
    <t>48</t>
  </si>
  <si>
    <t>-1526634061</t>
  </si>
  <si>
    <t>Ostatní armatury kohouty plnicí a vypouštěcí PN 10 do 90°C G 1/2</t>
  </si>
  <si>
    <t>734291123</t>
  </si>
  <si>
    <t>47</t>
  </si>
  <si>
    <t>392345681</t>
  </si>
  <si>
    <t>Šroubení regulační radiátorové přímé bez vypouštění pro adaptér na měď nebo plast G 1/2" x 16</t>
  </si>
  <si>
    <t>734261734</t>
  </si>
  <si>
    <t>46</t>
  </si>
  <si>
    <t>-308436369</t>
  </si>
  <si>
    <t>Šroubení topenářské PN 16 do 120°C přímé G 5/4</t>
  </si>
  <si>
    <t>734261236</t>
  </si>
  <si>
    <t>-106260042</t>
  </si>
  <si>
    <t>Šroubení topenářské PN 16 do 120°C přímé G 1</t>
  </si>
  <si>
    <t>734261235</t>
  </si>
  <si>
    <t>1994486735</t>
  </si>
  <si>
    <t>Ventily zpětné závitové PN 16 do 110°C přímé G 2</t>
  </si>
  <si>
    <t>734242417</t>
  </si>
  <si>
    <t>-941530879</t>
  </si>
  <si>
    <t>Ventily zpětné závitové PN 16 do 110°C přímé G 5/4</t>
  </si>
  <si>
    <t>734242415</t>
  </si>
  <si>
    <t>89274256</t>
  </si>
  <si>
    <t>Ventily zpětné závitové PN 16 do 110°C přímé G 1</t>
  </si>
  <si>
    <t>734242414</t>
  </si>
  <si>
    <t>1521536795</t>
  </si>
  <si>
    <t>Ventily regulační závitové hlavice termostatické, pro ovládání ventilů PN 10 do 110°C kapalinové otopných těles VK</t>
  </si>
  <si>
    <t>734221682</t>
  </si>
  <si>
    <t>-729845252</t>
  </si>
  <si>
    <t>Ventily regulační závitové termostatické, bez hlavice ovládání PN 16 do 110°C rohové dvouregulační G 1/2</t>
  </si>
  <si>
    <t>734221536</t>
  </si>
  <si>
    <t>1928349866</t>
  </si>
  <si>
    <t>Ventily odvzdušňovací závitové automatické se zpětnou klapkou PN 14 do 120°C G 3/8</t>
  </si>
  <si>
    <t>734211126</t>
  </si>
  <si>
    <t>Ústřední vytápění - armatury</t>
  </si>
  <si>
    <t>734</t>
  </si>
  <si>
    <t>1783442346</t>
  </si>
  <si>
    <t>Přesun hmot pro rozvody potrubí  stanovený z hmotnosti přesunovaného materiálu vodorovná dopravní vzdálenost do 50 m v objektech výšky do 6 m</t>
  </si>
  <si>
    <t>998733101</t>
  </si>
  <si>
    <t>-1409123814</t>
  </si>
  <si>
    <t>Ochrana potrubí termoizolačními trubicemi z pěnového polyetylenu PE přilepenými v příčných a podélných spojích, tloušťky izolace přes 20 do 25 mm, vnitřního průměru izolace DN přes 45 do 63 mm</t>
  </si>
  <si>
    <t>733811253</t>
  </si>
  <si>
    <t>-995719970</t>
  </si>
  <si>
    <t>pouzdro izolační potrubní z minerální vlny s Al fólií max. 250/100°C 35/50mm</t>
  </si>
  <si>
    <t>63154602</t>
  </si>
  <si>
    <t>1764018763</t>
  </si>
  <si>
    <t>Ochrana potrubí termoizolačními trubicemi z pěnového polyetylenu PE přilepenými v příčných a podélných spojích, tloušťky izolace přes 20 do 25 mm, vnitřního průměru izolace DN přes 22 do 45 mm</t>
  </si>
  <si>
    <t>733811252</t>
  </si>
  <si>
    <t>161626795</t>
  </si>
  <si>
    <t>Ochrana potrubí termoizolačními trubicemi z pěnového polyetylenu PE přilepenými v příčných a podélných spojích, tloušťky izolace přes 13 do 20 mm, vnitřního průměru izolace DN do 22 mm</t>
  </si>
  <si>
    <t>733811241</t>
  </si>
  <si>
    <t>1582386091</t>
  </si>
  <si>
    <t>Zkoušky těsnosti potrubí z trubek měděných  Ø přes 35/1,5 do 64/2,0</t>
  </si>
  <si>
    <t>733291102</t>
  </si>
  <si>
    <t>-1621575762</t>
  </si>
  <si>
    <t>Zkoušky těsnosti potrubí z trubek měděných  Ø do 35/1,5</t>
  </si>
  <si>
    <t>733291101</t>
  </si>
  <si>
    <t>1650184141</t>
  </si>
  <si>
    <t>Manžety prostupové pro potrubí primárních okruhů tepelných čerpadel průměru D 32 - 40</t>
  </si>
  <si>
    <t>733390404</t>
  </si>
  <si>
    <t>-727693442</t>
  </si>
  <si>
    <t>Potrubí z trubek měděných Příplatek k cenám za zhotovení přípojky z trubek měděných Ø 35/1,5</t>
  </si>
  <si>
    <t>733224226</t>
  </si>
  <si>
    <t>1368649456</t>
  </si>
  <si>
    <t>Potrubí z trubek měděných Příplatek k cenám za zhotovení přípojky z trubek měděných Ø 22/1</t>
  </si>
  <si>
    <t>733224224</t>
  </si>
  <si>
    <t>-1460508678</t>
  </si>
  <si>
    <t>Potrubí z trubek měděných Příplatek k cenám za zhotovení přípojky z trubek měděných Ø 15/1</t>
  </si>
  <si>
    <t>733224222</t>
  </si>
  <si>
    <t>-296847885</t>
  </si>
  <si>
    <t>Potrubí z trubek měděných tvrdých spojovaných tvrdým pájením Ø 54/2</t>
  </si>
  <si>
    <t>733223208</t>
  </si>
  <si>
    <t>1790838187</t>
  </si>
  <si>
    <t>Potrubí z trubek měděných tvrdých spojovaných tvrdým pájením Ø 35/1,5</t>
  </si>
  <si>
    <t>733223206</t>
  </si>
  <si>
    <t>-110713285</t>
  </si>
  <si>
    <t>Potrubí z trubek měděných tvrdých spojovaných tvrdým pájením Ø 28/1,5</t>
  </si>
  <si>
    <t>733223205</t>
  </si>
  <si>
    <t>764277565</t>
  </si>
  <si>
    <t>Potrubí z trubek měděných tvrdých spojovaných tvrdým pájením Ø 22/1</t>
  </si>
  <si>
    <t>733223204</t>
  </si>
  <si>
    <t>81842062</t>
  </si>
  <si>
    <t>Potrubí z trubek měděných tvrdých spojovaných tvrdým pájením Ø 15/1</t>
  </si>
  <si>
    <t>733223202</t>
  </si>
  <si>
    <t>Ústřední vytápění - rozvodné potrubí</t>
  </si>
  <si>
    <t>733</t>
  </si>
  <si>
    <t>-2028801867</t>
  </si>
  <si>
    <t>Přesun hmot pro strojovny  stanovený z hmotnosti přesunovaného materiálu vodorovná dopravní vzdálenost do 50 m v objektech výšky do 6 m</t>
  </si>
  <si>
    <t>998732101</t>
  </si>
  <si>
    <t>-1658571686</t>
  </si>
  <si>
    <t>Tepelná čerpadla akumulační zásobníky topné vody o objemu 750 l</t>
  </si>
  <si>
    <t>732525175</t>
  </si>
  <si>
    <t>1400825728</t>
  </si>
  <si>
    <t>Tepelná čerpadla nerezové zásobníky teplé vody o objemu a výkonu tepelného čerpadla 462 l / 17 kW</t>
  </si>
  <si>
    <t>732525112</t>
  </si>
  <si>
    <t>-356960032</t>
  </si>
  <si>
    <t>Tepelná čerpadla vzduch/voda venkovní jednotka topný výkon/příkon 17,0/5,20 kW</t>
  </si>
  <si>
    <t>732522120</t>
  </si>
  <si>
    <t>2024687075</t>
  </si>
  <si>
    <t>Čerpadla teplovodní přírubová mokroběžná oběhová pro teplovodní vytápění PN 6/10, do 110°C jednodílná DN příruby/dopravní výška H (m) - čerpací výkon Q (m3/h) DN 40/ do 6,0 m / 11,0 m3/h</t>
  </si>
  <si>
    <t>732422212</t>
  </si>
  <si>
    <t>1128889373</t>
  </si>
  <si>
    <t>Čerpadla teplovodní závitová mokroběžná oběhová pro teplovodní vytápění (elektronicky řízená) PN 10, do 110°C DN přípojky/dopravní výška H (m) - čerpací výkon Q (m3/h) DN 32 / do 4,0 m / 2,5 m3/h</t>
  </si>
  <si>
    <t>732421442</t>
  </si>
  <si>
    <t>-673795180</t>
  </si>
  <si>
    <t>Čerpadla teplovodní závitová mokroběžná cirkulační pro TUV (elektronicky řízená) PN 10, do 80°C DN přípojky/dopravní výška H (m) - čerpací výkon Q (m3/h) DN 20 / do 4,0 m / 2,2 m3/h</t>
  </si>
  <si>
    <t>732421211</t>
  </si>
  <si>
    <t>-44005023</t>
  </si>
  <si>
    <t>Nádoby expanzní tlakové příslušenství k expanzním nádobám bezpečnostní uzávěr k měření tlaku G 1</t>
  </si>
  <si>
    <t>732331778</t>
  </si>
  <si>
    <t>-1602323027</t>
  </si>
  <si>
    <t>Nádoby expanzní tlakové příslušenství k expanzním nádobám konzole nastavitelná</t>
  </si>
  <si>
    <t>732331772</t>
  </si>
  <si>
    <t>-1925844275</t>
  </si>
  <si>
    <t>Nádoby expanzní tlakové pro solární, topné a chladicí soustavy s membránou bez pojistného ventilu se závitovým připojením PN 1,0 o objemu 80 l</t>
  </si>
  <si>
    <t>732331107</t>
  </si>
  <si>
    <t>668494036</t>
  </si>
  <si>
    <t>Elektrická topná jednotka šroubovací 6/4" o výkonu 9,0 kW</t>
  </si>
  <si>
    <t>732294118</t>
  </si>
  <si>
    <t>-714464418</t>
  </si>
  <si>
    <t>Montáž štítků  orientačních</t>
  </si>
  <si>
    <t>732199100</t>
  </si>
  <si>
    <t>1622172530</t>
  </si>
  <si>
    <t>soub</t>
  </si>
  <si>
    <t>Montáž a uvedení do provozu</t>
  </si>
  <si>
    <t>722999008</t>
  </si>
  <si>
    <t>1522792320</t>
  </si>
  <si>
    <t>FE externí tlakové čidlo</t>
  </si>
  <si>
    <t>722999007</t>
  </si>
  <si>
    <t>-670695105</t>
  </si>
  <si>
    <t>GH sada na měření celkové tvrdosti</t>
  </si>
  <si>
    <t>722999006</t>
  </si>
  <si>
    <t>-1922060261</t>
  </si>
  <si>
    <t>Rozbor vody</t>
  </si>
  <si>
    <t>722999005</t>
  </si>
  <si>
    <t>-284670751</t>
  </si>
  <si>
    <t>Změkčování vody - průtok 0,6l/s topné vody - cca 3000 litrů vody v otopné soustavě</t>
  </si>
  <si>
    <t>722999004</t>
  </si>
  <si>
    <t>-922227658</t>
  </si>
  <si>
    <t>Automatické doplňování topné vody s oddělením od vodovodní soustavy a vodoměrem-podtlakové odplyňovací zařízení s integrovaným doplňováním</t>
  </si>
  <si>
    <t>722999003</t>
  </si>
  <si>
    <t>134434660</t>
  </si>
  <si>
    <t>Ekvitermní regulace tepelných čerpadel včetně dodávky, prokabelování a montáže</t>
  </si>
  <si>
    <t>722999001</t>
  </si>
  <si>
    <t>Ústřední vytápění - strojovny</t>
  </si>
  <si>
    <t>732</t>
  </si>
  <si>
    <t>897300822</t>
  </si>
  <si>
    <t>Přesun hmot pro kotelny  stanovený z hmotnosti přesunovaného materiálu vodorovná dopravní vzdálenost do 50 m v objektech výšky do 6 m</t>
  </si>
  <si>
    <t>998731101</t>
  </si>
  <si>
    <t>1490094038</t>
  </si>
  <si>
    <t>Kotle ocelové teplovodní elektrické závěsné přímotopné 24,0 kW</t>
  </si>
  <si>
    <t>731251120</t>
  </si>
  <si>
    <t>Ústřední vytápění - kotelny</t>
  </si>
  <si>
    <t>HZS - Hodinové zúčtovací sazby</t>
  </si>
  <si>
    <t xml:space="preserve">    735 - Ústřední vytápění - otopná tělesa</t>
  </si>
  <si>
    <t xml:space="preserve">    734 - Ústřední vytápění - armatury</t>
  </si>
  <si>
    <t xml:space="preserve">    733 - Ústřední vytápění - rozvodné potrubí</t>
  </si>
  <si>
    <t xml:space="preserve">    732 - Ústřední vytápění - strojovny</t>
  </si>
  <si>
    <t xml:space="preserve">    731 - Ústřední vytápění - kotelny</t>
  </si>
  <si>
    <t>Jičín</t>
  </si>
  <si>
    <t>Objekt A - a - Vytápění</t>
  </si>
  <si>
    <t>{dfdf194b-0251-46be-aa27-1a4dc6834f93}</t>
  </si>
  <si>
    <t>1847070483</t>
  </si>
  <si>
    <t>Trubkové teplovodní podlahové vytápění skříně rozdělovače pod omítku, pro rozdělovač s počtem okruhů 2-6</t>
  </si>
  <si>
    <t>735511102</t>
  </si>
  <si>
    <t>1911027808</t>
  </si>
  <si>
    <t>Trubkové teplovodní podlahové vytápění rozdělovače mosazné s průtokoměry pětiokruhové</t>
  </si>
  <si>
    <t>735511084</t>
  </si>
  <si>
    <t>-782209068</t>
  </si>
  <si>
    <t>"1NP" 5500</t>
  </si>
  <si>
    <t>-852546105</t>
  </si>
  <si>
    <t>-1490911012</t>
  </si>
  <si>
    <t>-1060232782</t>
  </si>
  <si>
    <t>-357244377</t>
  </si>
  <si>
    <t>-1327408567</t>
  </si>
  <si>
    <t>-303246261</t>
  </si>
  <si>
    <t>Ventily pojistné závitové a čepové rohové provozní tlak od 2,5 do 6 bar G 1/2</t>
  </si>
  <si>
    <t>734251211</t>
  </si>
  <si>
    <t>-1378433282</t>
  </si>
  <si>
    <t>-1606349714</t>
  </si>
  <si>
    <t>274388648</t>
  </si>
  <si>
    <t>1847170479</t>
  </si>
  <si>
    <t>-509786619</t>
  </si>
  <si>
    <t>167334257</t>
  </si>
  <si>
    <t>1554714139</t>
  </si>
  <si>
    <t>-1243481728</t>
  </si>
  <si>
    <t>-657861787</t>
  </si>
  <si>
    <t>234397642</t>
  </si>
  <si>
    <t>1613409787</t>
  </si>
  <si>
    <t>148149090</t>
  </si>
  <si>
    <t>-1120888878</t>
  </si>
  <si>
    <t>-392896474</t>
  </si>
  <si>
    <t>-1326412476</t>
  </si>
  <si>
    <t>-1433276013</t>
  </si>
  <si>
    <t>-449707434</t>
  </si>
  <si>
    <t>-677835804</t>
  </si>
  <si>
    <t>-1625750585</t>
  </si>
  <si>
    <t>1022363432</t>
  </si>
  <si>
    <t>-1273970303</t>
  </si>
  <si>
    <t>-750132332</t>
  </si>
  <si>
    <t>1012541423</t>
  </si>
  <si>
    <t>-1020425613</t>
  </si>
  <si>
    <t>-1481473866</t>
  </si>
  <si>
    <t>-1646456181</t>
  </si>
  <si>
    <t>Objekt  B - a - Vytápění</t>
  </si>
  <si>
    <t>{44bce319-a560-4196-849b-88224033499c}</t>
  </si>
  <si>
    <t>2121993152</t>
  </si>
  <si>
    <t>Hodinové zúčtovací sazby montáží technologických zařízení  na stavebních objektech montér vzduchotechniky a chlazení</t>
  </si>
  <si>
    <t>HZS3211</t>
  </si>
  <si>
    <t>445812410</t>
  </si>
  <si>
    <t>Přesun hmot pro vzduchotechniku stanovený z hmotnosti přesunovaného materiálu vodorovná dopravní vzdálenost do 100 m v objektech výšky do 12 m</t>
  </si>
  <si>
    <t>998751101</t>
  </si>
  <si>
    <t>892246679</t>
  </si>
  <si>
    <t>Kit pro přímý výpar chlazení VZT</t>
  </si>
  <si>
    <t>751999012</t>
  </si>
  <si>
    <t>-1322000365</t>
  </si>
  <si>
    <t>Zprovoznění a zaregulování systému s boxy</t>
  </si>
  <si>
    <t>751999011</t>
  </si>
  <si>
    <t>973636647</t>
  </si>
  <si>
    <t>Vzduchotechnické jednotka 1A - 330m3/hod včetně příslušenství a Smart Boxů:_x000D_
_x000D_
Vzduchotechnická část:_x000D_
Jednotka splňuje ErP (Ecodesign) - nařízení EU 1253/2014, platné od 1.1.2016 i 1.1.2018_x000D_
A100605 VZT jednotka 1 ks_x000D_
A102305 Me.106.EC1 (500M,ME) - EC 1 ks_x000D_
A103305 Mi.106.EC1 (500M,ME) - EC 1 ks_x000D_
A104405 S3.B_protiproudý rekuperační výměník (500M,ME) 1 ks_x000D_
A105111 provedení 11 (parapetní) 1 ks_x000D_
A105000 konfigurace 0 1 ks_x000D_
A106002 Fe.K4_filtr přívod kazetový třída G4 (500M,ME) 1 ks_x000D_
A106202 Fi.K4_filtr odtah kazetový třída G4 (500M,ME) 1 ks_x000D_
A130505 B.x_by-pass (500M,ME) 1 ks_x000D_
A117005 E.1800_elektrický ohřívač (500M,ME) 1 ks_x000D_
A113303 CHF.3_přímý chladič (500M,ME) 1 ks_x000D_
A119000 pořadí registrů: 1. topení - 2. chlazení 1 ks_x000D_
A131061 H.D200_kruh. hrdlo (pr. 200) - e1 1 ks_x000D_
A131010 H.200/250_obdélníkové hrdlo - e2 1 ks_x000D_
A131061 H.D200_kruh. hrdlo (pr. 200) - i1 1 ks_x000D_
A131010 H.200/250_obdélníkové hrdlo - i2 1 ks_x000D_
A130086 Ke.D200.x_uz. klapka kruh. přívod (pr. 200) 1 ks_x000D_
A130286 Ki.D200.x_uz. klapka kruh. odtah (pr. 200) 1 ks_x000D_
A131160 H.D200.P_příplatek pružná manžeta kruh. (pr. 200) 1 ks_x000D_
A131110 H.200/250.P_příplatek pružná manžeta obd. 2 ks_x000D_
A139501 dodávka jednotky vcelku_x000D_
_x000D_
Příslušenství (měření a regulace, regulační prvky)_x000D_
A140333 CM 24 (by-passová klapka) 1 ks_x000D_
A140333 CM 24 (uzavírací klapka e1) 1 ks_x000D_
A140333 CM 24 (uzavírací klapka i1) 1 ks_x000D_
A131402 vývod kondenzátu pr. 16/22 (plast) - mimo podstropních 2 ks_x000D_
A139024 podstavné nohy / závěsy (4 ks) - 500-1000M,500-1100ME,1100F2,650-1100F3 1 ks_x000D_
A142932 RD5 230V-EC / 230V-EC (500-1500M,ME), vč. ethernet připojení 1 ks_x000D_
A170285 RD4-IO (expandér pro RD4, RD5) 1 ks_x000D_
A140001 manostat filtru e1 (PFe, 0-500 Pa) 1 ks_x000D_
A140002 manostat filtru i1 (PFi, 0-500 Pa) 1 ks_x000D_
A140104 SW hlavní vypínač (všechny velikosti jednotek, všechny regulace) 1 ks_x000D_
A170130 CP Touch (B) - dotykový barevný ovládací panel (pro regulaci RD5, barva bílá) 1ks_x000D_
_x000D_
Ostatní_x000D_
A700901 RB951G - router VAV systému větrání 1 ks_x000D_
A700906 24-PORTŮ TP-Link TL-SF1024D - switch VAV systému ATREA 1 ks_x000D_
_x000D_
Pozice: SMART box SB._x000D_
A701012 SMART box UNI 125 (Přívodní část) 6 ks_x000D_
A701012 SMART box UNI 125 (Odvodní část) 6 ks_x000D_
A161200 EPO-PTC 160/0,4 6 ks_x000D_
A701000 SMART box RD5 6 ks_x000D_
A170130 CP Touch (B) - dotykový barevný ovládací panel (pro regulaci RD5, barva bílá) 6 ks_x000D_
A142319 ADS CO2 24 - čidlo CO2, prostorové 6 ks_x000D_
A142203 ADS 120 (kanálové čidlo teploty vzduchu) 6 ks_x000D_
_x000D_
Pozice: SMART box SB1_x000D_
A701016 SMART box UNI 160 (Přívodní část) 1 ks_x000D_
A701016 SMART box UNI 160 (Odvodní část) 1 ks_x000D_
A161200 EPO-PTC 160/0,4 1 ks_x000D_
A701000 SMART box RD5 1 ks_x000D_
A170130 CP Touch (B) - dotykový barevný ovládací panel (pro regulaci RD5, barva bílá) 1 ks_x000D_
A142319 ADS CO2 24 - čidlo CO2, prostorové 1 ks_x000D_
A142203 ADS 120 (kanálové čidlo teploty vzduchu) 1 ks</t>
  </si>
  <si>
    <t>751999010</t>
  </si>
  <si>
    <t>-1535744981</t>
  </si>
  <si>
    <t>Požární klapka D125</t>
  </si>
  <si>
    <t>751999004</t>
  </si>
  <si>
    <t>-1292684099</t>
  </si>
  <si>
    <t>Požární klapka D160</t>
  </si>
  <si>
    <t>751999003</t>
  </si>
  <si>
    <t>1220835157</t>
  </si>
  <si>
    <t>Požární klapka D200</t>
  </si>
  <si>
    <t>751999002</t>
  </si>
  <si>
    <t>1172077383</t>
  </si>
  <si>
    <t xml:space="preserve">SACÍ A VÝFUKOVÉ KOLENO SE SÍTEM - D200 </t>
  </si>
  <si>
    <t>751999001</t>
  </si>
  <si>
    <t>880398592</t>
  </si>
  <si>
    <t>chladivo R32 9kg</t>
  </si>
  <si>
    <t>10892004</t>
  </si>
  <si>
    <t>1676605161</t>
  </si>
  <si>
    <t>Doplnění chladiva do systému</t>
  </si>
  <si>
    <t>751793001</t>
  </si>
  <si>
    <t>388159437</t>
  </si>
  <si>
    <t>Montáž napojovacího potrubí měděného zkouška těsnosti potrubí</t>
  </si>
  <si>
    <t>751791301</t>
  </si>
  <si>
    <t>29,126213592233*1,03 'Přepočtené koeficientem množství</t>
  </si>
  <si>
    <t>1842279156</t>
  </si>
  <si>
    <t>trubka dvojitě předizolovaná Cu 1/4" -1/2" (6-12 mm), stěna tl 0,8/0,8mm, izolace 9 mm</t>
  </si>
  <si>
    <t>42981914</t>
  </si>
  <si>
    <t>1568055986</t>
  </si>
  <si>
    <t>Montáž napojovacího potrubí měděného předizolované dvojice, D mm (") 6-12 (1/4"-1/2")</t>
  </si>
  <si>
    <t>751791122</t>
  </si>
  <si>
    <t>1832227091</t>
  </si>
  <si>
    <t>jednotka klimatizační venkovní jednofázové napájení do 2 vnitřních jednotek o výkonu do 5,5kW</t>
  </si>
  <si>
    <t>42952015</t>
  </si>
  <si>
    <t>2001143771</t>
  </si>
  <si>
    <t>Montáž klimatizační jednotky venkovní jednofázové napájení do 2 vnitřních jednotek</t>
  </si>
  <si>
    <t>751721111</t>
  </si>
  <si>
    <t>1111044331</t>
  </si>
  <si>
    <t>jednotka klimatizační nástěnná o výkonu do 3,5kW</t>
  </si>
  <si>
    <t>42952001</t>
  </si>
  <si>
    <t>-1995995710</t>
  </si>
  <si>
    <t>Montáž klimatizační jednotky vnitřní nástěnné o výkonu (pro objem místnosti) do 3,5 kW (do 35 m3)</t>
  </si>
  <si>
    <t>751711111</t>
  </si>
  <si>
    <t>1853784830</t>
  </si>
  <si>
    <t>Zaregulování systému vzduchotechnického zařízení za 1 koncový (distribuční) prvek</t>
  </si>
  <si>
    <t>751691111</t>
  </si>
  <si>
    <t>474749046</t>
  </si>
  <si>
    <t>Montáž monitorovacího, řídícího a ovládacího zařízení regulace, ovladače, dotykového ovladače, mechanického ovladače VZT jednotky na omítku</t>
  </si>
  <si>
    <t>751614130</t>
  </si>
  <si>
    <t>-677565425</t>
  </si>
  <si>
    <t>Montáž monitorovacího, řídícího a ovládacího zařízení čidla CO2</t>
  </si>
  <si>
    <t>751614121</t>
  </si>
  <si>
    <t>-209953527</t>
  </si>
  <si>
    <t>návlek tepelně izolační tl 25mm s hliníkovým laminátem pro VZT potrubí, délka 10m D 203mm</t>
  </si>
  <si>
    <t>63152506</t>
  </si>
  <si>
    <t>792357998</t>
  </si>
  <si>
    <t>návlek tepelně izolační tl 25mm s hliníkovým laminátem pro VZT potrubí, délka 10m D 160mm</t>
  </si>
  <si>
    <t>63152505</t>
  </si>
  <si>
    <t>348843892</t>
  </si>
  <si>
    <t>návlek tepelně izolační tl 25mm s hliníkovým laminátem pro VZT potrubí, délka 10m D 127mm</t>
  </si>
  <si>
    <t>63152503</t>
  </si>
  <si>
    <t>-2067041795</t>
  </si>
  <si>
    <t>Montáž ostatních zařízení dodatečné izolace potrubí kruhového izolačním návlekem</t>
  </si>
  <si>
    <t>751613113</t>
  </si>
  <si>
    <t>1693859851</t>
  </si>
  <si>
    <t>Montáž vzduchotechnické jednotky s rekuperací tepla centrální stojaté s výměnou vzduchu přes 300 do 500 m3/h</t>
  </si>
  <si>
    <t>751611114</t>
  </si>
  <si>
    <t>2089369303</t>
  </si>
  <si>
    <t>Závěs kruhového potrubí pomocí objímky, kotvené do betonu průměru potrubí přes 100 do 200 mm</t>
  </si>
  <si>
    <t>751572102</t>
  </si>
  <si>
    <t>1422334398</t>
  </si>
  <si>
    <t>Závěs kruhového potrubí na montovanou konstrukci z nosníku, kotvenou do betonu průměru potrubí přes 100 do 200 mm</t>
  </si>
  <si>
    <t>751572032</t>
  </si>
  <si>
    <t>-742746315</t>
  </si>
  <si>
    <t>Závěs kruhového potrubí na montovanou konstrukci z nosníku, kotvenou do betonu průměru potrubí do 100 mm</t>
  </si>
  <si>
    <t>751572031</t>
  </si>
  <si>
    <t>30*0,1 'Přepočtené koeficientem množství</t>
  </si>
  <si>
    <t>-1727240789</t>
  </si>
  <si>
    <t>hadice ohebná z Al s tepelnou izolací 25mm, délka 10m D 102mm</t>
  </si>
  <si>
    <t>42981711</t>
  </si>
  <si>
    <t>1745722622</t>
  </si>
  <si>
    <t>Montáž potrubí ohebného kruhového izolovaného minerální vatou z Al folie, průměru přes 100 do 200 mm</t>
  </si>
  <si>
    <t>751537132</t>
  </si>
  <si>
    <t>-316920</t>
  </si>
  <si>
    <t>výfuková hlavice Pz D 150mm</t>
  </si>
  <si>
    <t>42981023</t>
  </si>
  <si>
    <t>865297870</t>
  </si>
  <si>
    <t>Montáž protidešťové stříšky nebo výfukové hlavice do plechového potrubí  kruhové bez příruby, průměru přes 100 do 200 mm</t>
  </si>
  <si>
    <t>751514776</t>
  </si>
  <si>
    <t>-481316213</t>
  </si>
  <si>
    <t>Vzduchotechnické potrubí z pozinkovaného plechu  kruhové, trouba spirálně vinutá bez příruby, průměru přes 100 do 200 mm</t>
  </si>
  <si>
    <t>751510042</t>
  </si>
  <si>
    <t>-719999016</t>
  </si>
  <si>
    <t>Vzduchotechnické potrubí z pozinkovaného plechu  kruhové, trouba spirálně vinutá bez příruby, průměru do 100 mm</t>
  </si>
  <si>
    <t>751510041</t>
  </si>
  <si>
    <t>1881530522</t>
  </si>
  <si>
    <t>kus kondenzační Pz D 150mm</t>
  </si>
  <si>
    <t>42981937</t>
  </si>
  <si>
    <t>-2025766554</t>
  </si>
  <si>
    <t>Montáž ostatních zařízení kondenzačního kusu pro kruhová potrubí kovová, průměru přes 100 do 200 mm</t>
  </si>
  <si>
    <t>751398171</t>
  </si>
  <si>
    <t>208475356</t>
  </si>
  <si>
    <t>Montáž ostatních zařízení uzavírací klapky do kruhového potrubí bez příruby, průměru přes 100 do 200 mm</t>
  </si>
  <si>
    <t>751398102</t>
  </si>
  <si>
    <t>98241108</t>
  </si>
  <si>
    <t>mřížka větrací kruhová nerezová se síťkou a krytem D 125mm</t>
  </si>
  <si>
    <t>42972887</t>
  </si>
  <si>
    <t>-1722685287</t>
  </si>
  <si>
    <t>Montáž ostatních zařízení větrací mřížky na kruhové potrubí, průměru přes 100 do 200 mm</t>
  </si>
  <si>
    <t>751398012</t>
  </si>
  <si>
    <t>-1974174592</t>
  </si>
  <si>
    <t>mřížka větrací kruhová nerezová se síťkou D 100mm</t>
  </si>
  <si>
    <t>42972835</t>
  </si>
  <si>
    <t>69905766</t>
  </si>
  <si>
    <t>Montáž ostatních zařízení větrací mřížky na kruhové potrubí, průměru do 100 mm</t>
  </si>
  <si>
    <t>751398011</t>
  </si>
  <si>
    <t>1664345312</t>
  </si>
  <si>
    <t>Montáž odsávacích stropů, zákrytů  odsávacího zákrytu (digestoř) bytového vestavěného</t>
  </si>
  <si>
    <t>751377011</t>
  </si>
  <si>
    <t>-617765885</t>
  </si>
  <si>
    <t>ohřívač vzduchu elektrický bez integrované regulace D 160mm, 0,5 - 2,0kW</t>
  </si>
  <si>
    <t>42956040</t>
  </si>
  <si>
    <t>188795744</t>
  </si>
  <si>
    <t>Montáž ohřívačů, chladičů, eliminátorů kapek  ohřívače elektrického, na potrubí průměru do 200 mm</t>
  </si>
  <si>
    <t>751355011</t>
  </si>
  <si>
    <t>-2088807645</t>
  </si>
  <si>
    <t>tlumič hluku kruhový Pz, D 200mm, l=1000mm</t>
  </si>
  <si>
    <t>42976006</t>
  </si>
  <si>
    <t>781926032</t>
  </si>
  <si>
    <t>Montáž tlumičů  hluku pro kruhové potrubí, průměru přes 100 do 200 mm</t>
  </si>
  <si>
    <t>751344112</t>
  </si>
  <si>
    <t>-1632135297</t>
  </si>
  <si>
    <t>ventil talířový pro přívod a odvod vzduchu plastový D 125mm</t>
  </si>
  <si>
    <t>42972202</t>
  </si>
  <si>
    <t>64193308</t>
  </si>
  <si>
    <t>Montáž talířových ventilů, anemostatů, dýz  talířového ventilu, průměru přes 100 do 200 mm</t>
  </si>
  <si>
    <t>751322012</t>
  </si>
  <si>
    <t>1452457982</t>
  </si>
  <si>
    <t>ventil talířový pro přívod a odvod vzduchu plastový D 100mm</t>
  </si>
  <si>
    <t>42972201</t>
  </si>
  <si>
    <t>577973656</t>
  </si>
  <si>
    <t>Montáž talířových ventilů, anemostatů, dýz  talířového ventilu, průměru do 100 mm</t>
  </si>
  <si>
    <t>751322011</t>
  </si>
  <si>
    <t>-1736633657</t>
  </si>
  <si>
    <t>ventiláor axiální diagonální potrubní dvouotáčkový plastový IP44 připojení D 125mm</t>
  </si>
  <si>
    <t>42914525</t>
  </si>
  <si>
    <t>523574976</t>
  </si>
  <si>
    <t>ventiláor axiální diagonální potrubní dvouotáčkový plastový IP44 připojení D 100mm</t>
  </si>
  <si>
    <t>42914524</t>
  </si>
  <si>
    <t>459139702</t>
  </si>
  <si>
    <t>Montáž ventilátoru axiálního středotlakého  potrubního základního, průměru do 200 mm</t>
  </si>
  <si>
    <t>751111271</t>
  </si>
  <si>
    <t>1611112422</t>
  </si>
  <si>
    <t>ventilátor axiální stěnový skříň z plastu IP44 35W D 150mm</t>
  </si>
  <si>
    <t>42914120</t>
  </si>
  <si>
    <t>-1404660263</t>
  </si>
  <si>
    <t>Montáž ventilátoru axiálního nízkotlakého  nástěnného základního, průměru přes 100 do 200 mm</t>
  </si>
  <si>
    <t>751111012</t>
  </si>
  <si>
    <t>Objekt A - c - Vzduchotechnika</t>
  </si>
  <si>
    <t>{3a49c093-992b-4a8d-a82a-eb987cb3ad0e}</t>
  </si>
  <si>
    <t>-1057000004</t>
  </si>
  <si>
    <t>58,252427184466*1,03 'Přepočtené koeficientem množství</t>
  </si>
  <si>
    <t>60*0,1 'Přepočtené koeficientem množství</t>
  </si>
  <si>
    <t>Objekt B - c - Vzduchotechnika</t>
  </si>
  <si>
    <t>{4ba638cf-d83f-4072-a988-9f6a30e5855f}</t>
  </si>
  <si>
    <t>-134373750</t>
  </si>
  <si>
    <t>2024006550</t>
  </si>
  <si>
    <t>256396402</t>
  </si>
  <si>
    <t>814981268</t>
  </si>
  <si>
    <t>Tlakoměry s pevným stonkem a zpětnou klapkou spodní připojení (radiální) tlaku 0–16 bar průměru 63 mm</t>
  </si>
  <si>
    <t>734421102</t>
  </si>
  <si>
    <t>560803381</t>
  </si>
  <si>
    <t>-194205238</t>
  </si>
  <si>
    <t>Šroubení topenářské PN 16 do 120°C přímé G 3/4</t>
  </si>
  <si>
    <t>734261234</t>
  </si>
  <si>
    <t>1809975534</t>
  </si>
  <si>
    <t>Ventily regulační závitové vyvažovací přímé PN 20 do 100°C G 1/2</t>
  </si>
  <si>
    <t>734220100</t>
  </si>
  <si>
    <t>1487471285</t>
  </si>
  <si>
    <t>39063363</t>
  </si>
  <si>
    <t>Nádoby expanzní tlakové příslušenství k expanzním nádobám bezpečnostní uzávěr k měření tlaku G 3/4</t>
  </si>
  <si>
    <t>732331777</t>
  </si>
  <si>
    <t>997305966</t>
  </si>
  <si>
    <t>Nádoby expanzní tlakové příslušenství k expanzním nádobám souprava s upínací páskou</t>
  </si>
  <si>
    <t>732331771</t>
  </si>
  <si>
    <t>1510958897</t>
  </si>
  <si>
    <t>Nádoby expanzní tlakové pro akumulační ohřev teplé vody s membránou bez pojistného ventilu se závitovým připojením PN 1,0 o objemu 18 l</t>
  </si>
  <si>
    <t>732331133</t>
  </si>
  <si>
    <t>-1104914975</t>
  </si>
  <si>
    <t>Přesun hmot pro instalační prefabrikáty  stanovený z hmotnosti přesunovaného materiálu vodorovná dopravní vzdálenost do 50 m v objektech výšky do 6 m</t>
  </si>
  <si>
    <t>998726111</t>
  </si>
  <si>
    <t>2085500972</t>
  </si>
  <si>
    <t>Ostatní příslušenství instalačních systémů  souprava pro předstěnovou montáž</t>
  </si>
  <si>
    <t>726191002</t>
  </si>
  <si>
    <t>-888920712</t>
  </si>
  <si>
    <t>Ostatní příslušenství instalačních systémů  zvukoizolační souprava pro WC a bidet</t>
  </si>
  <si>
    <t>726191001</t>
  </si>
  <si>
    <t>686180225</t>
  </si>
  <si>
    <t>Předstěnové instalační systémy do lehkých stěn s kovovou konstrukcí pro závěsné klozety ovládání zepředu, stavební výšky 1120 mm</t>
  </si>
  <si>
    <t>726131041</t>
  </si>
  <si>
    <t>Zdravotechnika - předstěnové instalace</t>
  </si>
  <si>
    <t>726</t>
  </si>
  <si>
    <t>-1124718195</t>
  </si>
  <si>
    <t>Přesun hmot pro zařizovací předměty  stanovený z hmotnosti přesunovaného materiálu vodorovná dopravní vzdálenost do 50 m v objektech výšky do 6 m</t>
  </si>
  <si>
    <t>998725101</t>
  </si>
  <si>
    <t>-859001974</t>
  </si>
  <si>
    <t>Dvířka  30/30</t>
  </si>
  <si>
    <t>725980123</t>
  </si>
  <si>
    <t>-1400491841</t>
  </si>
  <si>
    <t>Zápachové uzávěrky zařizovacích předmětů pro koupací vany s kulovým kloubem na odtoku DN 40/50</t>
  </si>
  <si>
    <t>725864311</t>
  </si>
  <si>
    <t>2108472340</t>
  </si>
  <si>
    <t>Zápachové uzávěrky zařizovacích předmětů pro dvojdřezy s přípojkou pro pračku nebo myčku DN 40/50</t>
  </si>
  <si>
    <t>725862123</t>
  </si>
  <si>
    <t>-970599639</t>
  </si>
  <si>
    <t>Zápachové uzávěrky zařizovacích předmětů pro dřezy s přípojkou pro pračku nebo myčku DN 40/50</t>
  </si>
  <si>
    <t>725862113</t>
  </si>
  <si>
    <t>-99433881</t>
  </si>
  <si>
    <t>Zápachové uzávěrky zařizovacích předmětů pro umyvadla DN 40</t>
  </si>
  <si>
    <t>725861102</t>
  </si>
  <si>
    <t>-1464740326</t>
  </si>
  <si>
    <t>Baterie sprchové podomítkové (zápustné) s přepínačem a pohyblivým držákem</t>
  </si>
  <si>
    <t>725841332</t>
  </si>
  <si>
    <t>-612026163</t>
  </si>
  <si>
    <t>Baterie vanové nástěnné pákové s automatickým přepínačem a sprchou</t>
  </si>
  <si>
    <t>725831315</t>
  </si>
  <si>
    <t>-313994877</t>
  </si>
  <si>
    <t>Baterie umyvadlové stojánkové pákové s výpustí</t>
  </si>
  <si>
    <t>725822613</t>
  </si>
  <si>
    <t>426731739</t>
  </si>
  <si>
    <t>Baterie dřezové nástěnné pákové s otáčivým plochým ústím a délkou ramínka 300 mm</t>
  </si>
  <si>
    <t>725821316</t>
  </si>
  <si>
    <t>729874668</t>
  </si>
  <si>
    <t>výlevka nerezová na podlahu</t>
  </si>
  <si>
    <t>55231311</t>
  </si>
  <si>
    <t>495329595</t>
  </si>
  <si>
    <t>Výlevky montáž výlevky</t>
  </si>
  <si>
    <t>725339111</t>
  </si>
  <si>
    <t>2000350361</t>
  </si>
  <si>
    <t>Výlevky bez výtokových armatur a splachovací nádrže keramické se sklopnou plastovou mřížkou 425 mm</t>
  </si>
  <si>
    <t>725331111</t>
  </si>
  <si>
    <t>-1598691418</t>
  </si>
  <si>
    <t>Dřezy bez výtokových armatur dvojité se zápachovou uzávěrkou nerezové nástavné 900x600 mm</t>
  </si>
  <si>
    <t>725311131</t>
  </si>
  <si>
    <t>-1976188698</t>
  </si>
  <si>
    <t>Dřezy bez výtokových armatur jednoduché se zápachovou uzávěrkou nerezové s odkapávací plochou 560x480 mm a miskou</t>
  </si>
  <si>
    <t>725311121</t>
  </si>
  <si>
    <t>212124092</t>
  </si>
  <si>
    <t>Sprchové sedátko Multi hnědá</t>
  </si>
  <si>
    <t>725291723</t>
  </si>
  <si>
    <t>1443194066</t>
  </si>
  <si>
    <t>Doplňky zařízení koupelen a záchodů  smaltované madla krakorcová sklopná, délky 834 mm</t>
  </si>
  <si>
    <t>725291722</t>
  </si>
  <si>
    <t>-374987619</t>
  </si>
  <si>
    <t>Doplňky zařízení koupelen a záchodů  smaltované madla krakorcová, délky 834 mm</t>
  </si>
  <si>
    <t>725291712</t>
  </si>
  <si>
    <t>-25043103</t>
  </si>
  <si>
    <t>Sprchové dveře a zástěny zástěny sprchové do niky rámové se skleněnou výplní tl. 4 a 5 mm dveře posuvné jednodílné, na vaničku šířky 1400 mm</t>
  </si>
  <si>
    <t>725244314</t>
  </si>
  <si>
    <t>-944788836</t>
  </si>
  <si>
    <t>Masážní vana pneumatické ovládání 180x80cm</t>
  </si>
  <si>
    <t>725999001</t>
  </si>
  <si>
    <t>1030675705</t>
  </si>
  <si>
    <t>Vany bez výtokových armatur montáž van se zápachovou uzávěrkou akrylátových</t>
  </si>
  <si>
    <t>725229103</t>
  </si>
  <si>
    <t>-1935961952</t>
  </si>
  <si>
    <t>Umyvadla keramická bílá bez výtokových armatur připevněná na stěnu šrouby malá (umývátka) stěnová 450 mm</t>
  </si>
  <si>
    <t>725211703</t>
  </si>
  <si>
    <t>1771445104</t>
  </si>
  <si>
    <t>Umyvadla keramická bílá bez výtokových armatur připevněná na stěnu šrouby zdravotní, šířka umyvadla 640 mm</t>
  </si>
  <si>
    <t>725211681</t>
  </si>
  <si>
    <t>2086030527</t>
  </si>
  <si>
    <t>Umyvadla keramická bílá bez výtokových armatur připevněná na stěnu šrouby s krytem na sifon (polosloupem), šířka umyvadla 600 mm</t>
  </si>
  <si>
    <t>725211617</t>
  </si>
  <si>
    <t>1408916161</t>
  </si>
  <si>
    <t>Zařízení záchodů kombi klozety s hlubokým splachováním zvýšený 50 cm s odpadem svislým</t>
  </si>
  <si>
    <t>725112173</t>
  </si>
  <si>
    <t>-1173783545</t>
  </si>
  <si>
    <t>Zařízení záchodů klozety keramické závěsné na nosné stěny s hlubokým splachováním odpad vodorovný</t>
  </si>
  <si>
    <t>725112022</t>
  </si>
  <si>
    <t>Zdravotechnika - zařizovací předměty</t>
  </si>
  <si>
    <t>725</t>
  </si>
  <si>
    <t>1290119610</t>
  </si>
  <si>
    <t>Přesun hmot pro vnitřní vodovod  stanovený z hmotnosti přesunovaného materiálu vodorovná dopravní vzdálenost do 50 m v objektech výšky do 6 m</t>
  </si>
  <si>
    <t>998722101</t>
  </si>
  <si>
    <t>2008752003</t>
  </si>
  <si>
    <t>Zkoušky, proplach a desinfekce vodovodního potrubí  proplach a desinfekce vodovodního potrubí do DN 80</t>
  </si>
  <si>
    <t>722290234</t>
  </si>
  <si>
    <t>-361603968</t>
  </si>
  <si>
    <t>Zkoušky, proplach a desinfekce vodovodního potrubí  zkoušky těsnosti vodovodního potrubí závitového do DN 50</t>
  </si>
  <si>
    <t>722290226</t>
  </si>
  <si>
    <t>-1627423442</t>
  </si>
  <si>
    <t>Vodoměry pro vodu do 40°C závitové vertikální vícevtokové mokroběžné G 1"x 105 mm Qn 2,5</t>
  </si>
  <si>
    <t>722262301</t>
  </si>
  <si>
    <t>-231607432</t>
  </si>
  <si>
    <t>Armatury se dvěma závity filtry mosazný PN 20 do 80 °C G 3/4"</t>
  </si>
  <si>
    <t>722234264</t>
  </si>
  <si>
    <t>619845257</t>
  </si>
  <si>
    <t>Armatury se dvěma závity kulové kohouty PN 42 do 185 °C plnoprůtokové vnitřní závit G 5/4"</t>
  </si>
  <si>
    <t>722232125</t>
  </si>
  <si>
    <t>1114890649</t>
  </si>
  <si>
    <t>Armatury se dvěma závity kulové kohouty PN 42 do 185 °C plnoprůtokové vnitřní závit G 3/4"</t>
  </si>
  <si>
    <t>722232123</t>
  </si>
  <si>
    <t>2082040494</t>
  </si>
  <si>
    <t>Armatury se dvěma závity kulové kohouty PN 42 do 185 °C přímé vnitřní závit s vypouštěním G 3/4"</t>
  </si>
  <si>
    <t>722232062</t>
  </si>
  <si>
    <t>2103185522</t>
  </si>
  <si>
    <t>Armatury se dvěma závity kulové kohouty PN 42 do 185 °C přímé vnitřní závit s vypouštěním G 1/2"</t>
  </si>
  <si>
    <t>722232061</t>
  </si>
  <si>
    <t>212687490</t>
  </si>
  <si>
    <t>Armatury se dvěma závity ventily pojistné k bojleru mosazné PN 6 do 100°C G 3/4"</t>
  </si>
  <si>
    <t>722231222</t>
  </si>
  <si>
    <t>-994056930</t>
  </si>
  <si>
    <t>Armatury se dvěma závity ventily zpětné mosazné PN 10 do 110°C G 5/4"</t>
  </si>
  <si>
    <t>722231075</t>
  </si>
  <si>
    <t>1209568846</t>
  </si>
  <si>
    <t>Armatury se dvěma závity ventily zpětné mosazné PN 10 do 110°C G 3/4"</t>
  </si>
  <si>
    <t>722231073</t>
  </si>
  <si>
    <t>1792755699</t>
  </si>
  <si>
    <t>Armatury s jedním závitem kohouty plnicí a vypouštěcí PN 10 G 1/2"</t>
  </si>
  <si>
    <t>722224115</t>
  </si>
  <si>
    <t>1069659558</t>
  </si>
  <si>
    <t>Armatury s jedním závitem ventily výtokové G 1/2"</t>
  </si>
  <si>
    <t>722221134</t>
  </si>
  <si>
    <t>-763649686</t>
  </si>
  <si>
    <t>pár</t>
  </si>
  <si>
    <t>Armatury s jedním závitem nástěnky pro baterii G 1/2"</t>
  </si>
  <si>
    <t>722220121</t>
  </si>
  <si>
    <t>-854714015</t>
  </si>
  <si>
    <t>Armatury s jedním závitem nástěnky pro výtokový ventil G 1/2"</t>
  </si>
  <si>
    <t>722220111</t>
  </si>
  <si>
    <t>-567706381</t>
  </si>
  <si>
    <t>Zřízení přípojek na potrubí  vyvedení a upevnění výpustek do DN 25</t>
  </si>
  <si>
    <t>722190401</t>
  </si>
  <si>
    <t>1656585037</t>
  </si>
  <si>
    <t>Podpůrný žlab pro potrubí průměru D 25</t>
  </si>
  <si>
    <t>722182012</t>
  </si>
  <si>
    <t>330361098</t>
  </si>
  <si>
    <t>Ochrana potrubí  termoizolačními trubicemi z pěnového polyetylenu PE přilepenými v příčných a podélných spojích, tloušťky izolace přes 20 do 25 mm, vnitřního průměru izolace DN přes 22 do 45 mm</t>
  </si>
  <si>
    <t>722181252</t>
  </si>
  <si>
    <t>604511473</t>
  </si>
  <si>
    <t>Ochrana potrubí  termoizolačními trubicemi z pěnového polyetylenu PE přilepenými v příčných a podélných spojích, tloušťky izolace přes 20 do 25 mm, vnitřního průměru izolace DN do 22 mm</t>
  </si>
  <si>
    <t>722181251</t>
  </si>
  <si>
    <t>1889112771</t>
  </si>
  <si>
    <t>Ochrana potrubí  termoizolačními trubicemi z pěnového polyetylenu PE přilepenými v příčných a podélných spojích, tloušťky izolace přes 6 do 9 mm, vnitřního průměru izolace DN přes 22 do 45 mm</t>
  </si>
  <si>
    <t>722181222</t>
  </si>
  <si>
    <t>-683220874</t>
  </si>
  <si>
    <t>Ochrana potrubí  termoizolačními trubicemi z pěnového polyetylenu PE přilepenými v příčných a podélných spojích, tloušťky izolace přes 6 do 9 mm, vnitřního průměru izolace DN do 22 mm</t>
  </si>
  <si>
    <t>722181221</t>
  </si>
  <si>
    <t>386509538</t>
  </si>
  <si>
    <t>Potrubí z plastových trubek z polypropylenu PPR svařovaných polyfúzně PN 20 (SDR 6) D 40 x 6,7</t>
  </si>
  <si>
    <t>722174025</t>
  </si>
  <si>
    <t>921586316</t>
  </si>
  <si>
    <t>Potrubí z plastových trubek z polypropylenu PPR svařovaných polyfúzně PN 20 (SDR 6) D 32 x 5,4</t>
  </si>
  <si>
    <t>722174024</t>
  </si>
  <si>
    <t>-521887710</t>
  </si>
  <si>
    <t>Potrubí z plastových trubek z polypropylenu PPR svařovaných polyfúzně PN 20 (SDR 6) D 25 x 4,2</t>
  </si>
  <si>
    <t>722174023</t>
  </si>
  <si>
    <t>25229673</t>
  </si>
  <si>
    <t>Potrubí z plastových trubek z polypropylenu PPR svařovaných polyfúzně PN 20 (SDR 6) D 20 x 3,4</t>
  </si>
  <si>
    <t>722174022</t>
  </si>
  <si>
    <t>Zdravotechnika - vnitřní vodovod</t>
  </si>
  <si>
    <t>722</t>
  </si>
  <si>
    <t>-220934217</t>
  </si>
  <si>
    <t>Přesun hmot pro vnitřní kanalizace  stanovený z hmotnosti přesunovaného materiálu vodorovná dopravní vzdálenost do 50 m v objektech výšky do 6 m</t>
  </si>
  <si>
    <t>998721101</t>
  </si>
  <si>
    <t>423733225</t>
  </si>
  <si>
    <t>Zkouška těsnosti kanalizace  v objektech vodou DN 150 nebo DN 200</t>
  </si>
  <si>
    <t>721290112</t>
  </si>
  <si>
    <t>906084814</t>
  </si>
  <si>
    <t>Zkouška těsnosti kanalizace  v objektech vodou do DN 125</t>
  </si>
  <si>
    <t>721290111</t>
  </si>
  <si>
    <t>-40327682</t>
  </si>
  <si>
    <t>Ventilační hlavice z polypropylenu (PP) DN 110</t>
  </si>
  <si>
    <t>721273153</t>
  </si>
  <si>
    <t>-1441134450</t>
  </si>
  <si>
    <t>Lapače střešních splavenin polypropylenové (PP) s kulovým kloubem na odtoku DN 110</t>
  </si>
  <si>
    <t>721242115</t>
  </si>
  <si>
    <t>-996495281</t>
  </si>
  <si>
    <t>vtok střešní svislý s vyhříváním s manžetou pro PVC-P hydroizolaci pochůzných plochých střech DN 75, DN 110</t>
  </si>
  <si>
    <t>56231103</t>
  </si>
  <si>
    <t>1008687305</t>
  </si>
  <si>
    <t>Střešní vtoky (vpusti) montáž střešních vtoků ostatních typů s vodorovným odtokem DN 75/110</t>
  </si>
  <si>
    <t>721239221</t>
  </si>
  <si>
    <t>1609077416</t>
  </si>
  <si>
    <t>Zápachové uzávěrky podomítkové (Pe) s krycí deskou pro pračku a myčku DN 40</t>
  </si>
  <si>
    <t>721226511</t>
  </si>
  <si>
    <t>-1607745280</t>
  </si>
  <si>
    <t>Odtokové sprchové žlaby se zápachovou uzávěrkou a krycím roštem délky 1000 mm</t>
  </si>
  <si>
    <t>721212127</t>
  </si>
  <si>
    <t>-1958365671</t>
  </si>
  <si>
    <t>Odtokové sprchové žlaby se zápachovou uzávěrkou a krycím roštem délky 900 mm</t>
  </si>
  <si>
    <t>721212125</t>
  </si>
  <si>
    <t>-1966129117</t>
  </si>
  <si>
    <t>Podlahové vpusti se svislým odtokem DN 50/75/110 mřížka nerez 138x138</t>
  </si>
  <si>
    <t>721211422</t>
  </si>
  <si>
    <t>2062232049</t>
  </si>
  <si>
    <t>Podlahové vpusti s vodorovným odtokem DN 40/50 s automatickým vztlakovým uzávěrem</t>
  </si>
  <si>
    <t>721211402</t>
  </si>
  <si>
    <t>361779278</t>
  </si>
  <si>
    <t>Vyměření přípojek na potrubí vyvedení a upevnění odpadních výpustek DN 110</t>
  </si>
  <si>
    <t>721194109</t>
  </si>
  <si>
    <t>2032076265</t>
  </si>
  <si>
    <t>Vyměření přípojek na potrubí vyvedení a upevnění odpadních výpustek DN 50</t>
  </si>
  <si>
    <t>721194105</t>
  </si>
  <si>
    <t>-797155759</t>
  </si>
  <si>
    <t>Vyměření přípojek na potrubí vyvedení a upevnění odpadních výpustek DN 40</t>
  </si>
  <si>
    <t>721194104</t>
  </si>
  <si>
    <t>-925478590</t>
  </si>
  <si>
    <t>Plastové potrubí odhlučněné třívrstvé fixace spoje pojistkou proti vytažení pro maximální tlakové zatížení 2,0 bar DN 110</t>
  </si>
  <si>
    <t>721175412</t>
  </si>
  <si>
    <t>-1318379539</t>
  </si>
  <si>
    <t>Potrubí z trub polypropylenových připojovací DN 50</t>
  </si>
  <si>
    <t>721174043</t>
  </si>
  <si>
    <t>-1233225631</t>
  </si>
  <si>
    <t>Potrubí z trub polypropylenových připojovací DN 40</t>
  </si>
  <si>
    <t>721174042</t>
  </si>
  <si>
    <t>-1887314562</t>
  </si>
  <si>
    <t>Potrubí z trub polypropylenových odpadní (svislé) DN 75</t>
  </si>
  <si>
    <t>721174024</t>
  </si>
  <si>
    <t>-949171497</t>
  </si>
  <si>
    <t>Potrubí z trub PVC SN4 svodné (ležaté) DN 200</t>
  </si>
  <si>
    <t>721173404</t>
  </si>
  <si>
    <t>745572939</t>
  </si>
  <si>
    <t>Potrubí z trub PVC SN4 svodné (ležaté) DN 160</t>
  </si>
  <si>
    <t>721173403</t>
  </si>
  <si>
    <t>-984828696</t>
  </si>
  <si>
    <t>Potrubí z trub PVC SN4 svodné (ležaté) DN 125</t>
  </si>
  <si>
    <t>721173402</t>
  </si>
  <si>
    <t>151100832</t>
  </si>
  <si>
    <t>Potrubí z trub PVC SN4 svodné (ležaté) DN 110</t>
  </si>
  <si>
    <t>721173401</t>
  </si>
  <si>
    <t>-2095408925</t>
  </si>
  <si>
    <t>Potrubí z trub PVC SN4 dešťové DN 160</t>
  </si>
  <si>
    <t>721173317</t>
  </si>
  <si>
    <t>-215917314</t>
  </si>
  <si>
    <t>Potrubí z trub PVC SN4 dešťové DN 125</t>
  </si>
  <si>
    <t>721173316</t>
  </si>
  <si>
    <t>1444334587</t>
  </si>
  <si>
    <t>Potrubí z trub PVC SN4 dešťové DN 110</t>
  </si>
  <si>
    <t>721173315</t>
  </si>
  <si>
    <t>Zdravotechnika - vnitřní kanalizace</t>
  </si>
  <si>
    <t>1501097279</t>
  </si>
  <si>
    <t>Akumulační boxy z polypropylenu PP pro retenci dešťových vod pod plochy zatížené osobními automobily o celkovém akumulačním objemu přes 10 do 30 m3</t>
  </si>
  <si>
    <t>897172112</t>
  </si>
  <si>
    <t>-590666570</t>
  </si>
  <si>
    <t>Revizní a čistící šachta z polypropylenu PP vyříznutí a utěsnění otvoru ve stěně šachty DN 150</t>
  </si>
  <si>
    <t>894812612</t>
  </si>
  <si>
    <t>1266613632</t>
  </si>
  <si>
    <t>Revizní a čistící šachta z polypropylenu PP pro hladké trouby DN 1000 poklop (mříž) litinový s přechodovým konusem pro třídu zatížení D400 na plastovém konusu</t>
  </si>
  <si>
    <t>894812551</t>
  </si>
  <si>
    <t>1793277922</t>
  </si>
  <si>
    <t>Revizní a čistící šachta z polypropylenu PP pro hladké trouby DN 1000 Příplatek k cenám 2431 - 2438 za uříznutí šachtové roury</t>
  </si>
  <si>
    <t>894812529</t>
  </si>
  <si>
    <t>-328630091</t>
  </si>
  <si>
    <t>Revizní a čistící šachta z polypropylenu PP pro hladké trouby DN 1000 roura šachtová korugovaná, světlé hloubky 6 000 mm</t>
  </si>
  <si>
    <t>894812524</t>
  </si>
  <si>
    <t>-1771481487</t>
  </si>
  <si>
    <t>Revizní a čistící šachta z polypropylenu PP pro hladké trouby DN 1000 šachtové dno (DN šachty / DN trubního vedení) DN 1000/315 sběrné 45°, 90°</t>
  </si>
  <si>
    <t>894812512</t>
  </si>
  <si>
    <t>-408611631</t>
  </si>
  <si>
    <t>Revizní a čistící šachta z polypropylenu PP pro hladké trouby DN 400 poklop plastový (pro třídu zatížení) pochůzí (A15)</t>
  </si>
  <si>
    <t>894812051</t>
  </si>
  <si>
    <t>-1582097329</t>
  </si>
  <si>
    <t>Revizní a čistící šachta z polypropylenu PP pro hladké trouby DN 400 roura šachtová korugovaná Příplatek k cenám 2031 - 2035 za uříznutí šachtové roury</t>
  </si>
  <si>
    <t>894812041</t>
  </si>
  <si>
    <t>-543371340</t>
  </si>
  <si>
    <t>Revizní a čistící šachta z polypropylenu PP pro hladké trouby DN 400 roura šachtová korugovaná bez hrdla, světlé hloubky 1500 mm</t>
  </si>
  <si>
    <t>894812032</t>
  </si>
  <si>
    <t>-708200455</t>
  </si>
  <si>
    <t>Revizní a čistící šachta z polypropylenu PP pro hladké trouby DN 400 šachtové dno (DN šachty / DN trubního vedení) DN 400/200 pravý a levý přítok</t>
  </si>
  <si>
    <t>894812008</t>
  </si>
  <si>
    <t>Trubní vedení</t>
  </si>
  <si>
    <t>727570209</t>
  </si>
  <si>
    <t>Ochrana stavebních konstrukcí a samostatných prvků včetně pozdějšího odstranění obalením geotextilií samostatných konstrukcí a prvků</t>
  </si>
  <si>
    <t>619996145</t>
  </si>
  <si>
    <t>-1457320407</t>
  </si>
  <si>
    <t>Krytí potrubí z plastů výstražnou fólií z PVC šířky 25 cm</t>
  </si>
  <si>
    <t>899722112</t>
  </si>
  <si>
    <t>"výkopy pro potrubí - lože a obsypy potrubí"   190,0*0,5*0,4</t>
  </si>
  <si>
    <t>2100942338</t>
  </si>
  <si>
    <t>Lože pod potrubí otevřený výkop z kameniva drobného těženého</t>
  </si>
  <si>
    <t>451572111</t>
  </si>
  <si>
    <t>"odpočet - lože a obsypy potrubí z drobného kameniva (dle kptl. 4)"   -38</t>
  </si>
  <si>
    <t>"vytěženo"   131</t>
  </si>
  <si>
    <t>"zpětné zásypy vhodnou vytěženou zeminou (minimálně prvních 200mm zásypu provádět z tříděného materiálu ):"</t>
  </si>
  <si>
    <t>-1017742326</t>
  </si>
  <si>
    <t>Zásyp sypaninou z jakékoliv horniny strojně s uložením výkopku ve vrstvách se zhutněním jam, šachet, rýh nebo kolem objektů v těchto vykopávkách</t>
  </si>
  <si>
    <t>174151101</t>
  </si>
  <si>
    <t>"uložení přebytečné vytěžené zeminy na skládce"    93*1,800</t>
  </si>
  <si>
    <t>-1371741758</t>
  </si>
  <si>
    <t>Poplatek za uložení stavebního odpadu na recyklační skládce (skládkovné) zeminy a kamení zatříděného do Katalogu odpadů pod kódem 17 05 04</t>
  </si>
  <si>
    <t>171201231</t>
  </si>
  <si>
    <t>"staveništní přemístění kameniva pro lože a obsypy potrubí (dle kptl. 4)"   38</t>
  </si>
  <si>
    <t>-431716003</t>
  </si>
  <si>
    <t>Nakládání, skládání a překládání neulehlého výkopku nebo sypaniny strojně nakládání, množství do 100 m3, z horniny třídy těžitelnosti I, skupiny 1 až 3</t>
  </si>
  <si>
    <t>167151101</t>
  </si>
  <si>
    <t>"odpočet - zemina pro zpětné zásypy"   -38</t>
  </si>
  <si>
    <t>"vytěženo celkem"   131</t>
  </si>
  <si>
    <t xml:space="preserve">"odvoz přebytečné vytěžené zeminy na skládku (uvažováno do 18km)"  </t>
  </si>
  <si>
    <t>-1413989219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</si>
  <si>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</si>
  <si>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"staveništní přemístění kameniva pro lože a obsypy potrubí (dle kptl. 4)"  38</t>
  </si>
  <si>
    <t>719073614</t>
  </si>
  <si>
    <t>Vodorovné přemístění výkopku nebo sypaniny po suchu na obvyklém dopravním prostředku, bez naložení výkopku, avšak se složením bez rozhrnutí z horniny třídy těžitelnosti I skupiny 1 až 3 na vzdálenost přes 20 do 50 m</t>
  </si>
  <si>
    <t>162251102</t>
  </si>
  <si>
    <t>(2,0*1,0*1,5) + (2*1*4)</t>
  </si>
  <si>
    <t>"výkopy pro potrubí - ztížené vykopávky v místě napojení na stávající rozvody"</t>
  </si>
  <si>
    <t>1039921601</t>
  </si>
  <si>
    <t>Příplatek k cenám hloubených vykopávek za ztížení vykopávky v blízkosti podzemního vedení nebo výbušnin pro jakoukoliv třídu horniny</t>
  </si>
  <si>
    <t>139001101</t>
  </si>
  <si>
    <t>"výkopy pro potrubí"   (180+10)*0,5*1,0</t>
  </si>
  <si>
    <t>"výko retence a šachet" (25+4+1)*1,2</t>
  </si>
  <si>
    <t>813501446</t>
  </si>
  <si>
    <t>Hloubení nezapažených rýh šířky do 800 mm strojně s urovnáním dna do předepsaného profilu a spádu v hornině třídy těžitelnosti I skupiny 3 přes 20 do 50 m3</t>
  </si>
  <si>
    <t>132251102</t>
  </si>
  <si>
    <t xml:space="preserve">    726 - Zdravotechnika - předstěnové instalace</t>
  </si>
  <si>
    <t xml:space="preserve">    725 - Zdravotechnika - zařizovací předměty</t>
  </si>
  <si>
    <t xml:space="preserve">    722 - Zdravotechnika - vnitřní vodovod</t>
  </si>
  <si>
    <t xml:space="preserve">    721 - Zdravotechnika - vnitřní kanalizace</t>
  </si>
  <si>
    <t xml:space="preserve">    8 - Trubní vedení</t>
  </si>
  <si>
    <t>HSV - HSV</t>
  </si>
  <si>
    <t>Objekt A - e - Zdravotní technika</t>
  </si>
  <si>
    <t>{1fb0e9dc-eb37-43f2-86d9-205815e50727}</t>
  </si>
  <si>
    <t>-351550265</t>
  </si>
  <si>
    <t>Objekt B - e - Zdravotní technika</t>
  </si>
  <si>
    <t>{67de968b-a4c8-4efe-a576-205bdf5f2530}</t>
  </si>
  <si>
    <t>251484084</t>
  </si>
  <si>
    <t>Šachty armaturní  ze železového betonu se stropem z dílců, vnitřní půdorysné plochy přes 2,50 do 3,50 m2</t>
  </si>
  <si>
    <t>893332111</t>
  </si>
  <si>
    <t>-423703750</t>
  </si>
  <si>
    <t>hydrant nadzemní DN 100 tvárná litina dvojitý uzávěr s koulí krycí v 1000mm</t>
  </si>
  <si>
    <t>42273685</t>
  </si>
  <si>
    <t>1947012266</t>
  </si>
  <si>
    <t>Montáž vodovodních armatur na potrubí hydrantů nadzemních DN 100</t>
  </si>
  <si>
    <t>891267212</t>
  </si>
  <si>
    <t>1797221574</t>
  </si>
  <si>
    <t>souprava zemní pro navrtávací pas s kohoutem Rd 1,5m</t>
  </si>
  <si>
    <t>42291057</t>
  </si>
  <si>
    <t>1667941142</t>
  </si>
  <si>
    <t>poklop litinový šoupátkový pro zemní soupravy osazení do terénu a do vozovky</t>
  </si>
  <si>
    <t>42291352</t>
  </si>
  <si>
    <t>-434725586</t>
  </si>
  <si>
    <t>šoupátko domovní přípojky litinové vnitřní/vnitřní závit PN16 2"x2"</t>
  </si>
  <si>
    <t>42223010</t>
  </si>
  <si>
    <t>1813554485</t>
  </si>
  <si>
    <t>pás navrtávací z tvárné litiny DN 400mm, rozsah (410-460), odbočka DN 50</t>
  </si>
  <si>
    <t>42271449</t>
  </si>
  <si>
    <t>895256357</t>
  </si>
  <si>
    <t>Montáž vodovodních armatur na potrubí šoupátek nebo klapek uzavíracích v otevřeném výkopu nebo v šachtách s osazením zemní soupravy (bez poklopů) DN 50</t>
  </si>
  <si>
    <t>891211112</t>
  </si>
  <si>
    <t>1003839204</t>
  </si>
  <si>
    <t>trubka vodovodní PE100 SDR11 se signalizační vrstvou 63x5,8mm</t>
  </si>
  <si>
    <t>28613173</t>
  </si>
  <si>
    <t>-1725275014</t>
  </si>
  <si>
    <t>Montáž vodovodního potrubí z plastů v otevřeném výkopu z polyetylenu PE 100 svařovaných na tupo SDR 11/PN16 D 63 x 5,8 mm</t>
  </si>
  <si>
    <t>871211141</t>
  </si>
  <si>
    <t>54,1871921182266*1,015 'Přepočtené koeficientem množství</t>
  </si>
  <si>
    <t>-1855259620</t>
  </si>
  <si>
    <t>trubka vodovodní PE100 SDR11 se signalizační vrstvou 40x3,7mm</t>
  </si>
  <si>
    <t>28613171</t>
  </si>
  <si>
    <t>1860414309</t>
  </si>
  <si>
    <t>Montáž vodovodního potrubí z plastů v otevřeném výkopu z polyetylenu PE 100 svařovaných na tupo SDR 11/PN16 D 40 x 3,7 mm</t>
  </si>
  <si>
    <t>871171141</t>
  </si>
  <si>
    <t>-402085861</t>
  </si>
  <si>
    <t>-274713756</t>
  </si>
  <si>
    <t>Signalizační vodič na potrubí DN do 150 mm</t>
  </si>
  <si>
    <t>899721111</t>
  </si>
  <si>
    <t>"výkopy pro potrubí - lože a obsypy potrubí"   90,0*0,5*0,3</t>
  </si>
  <si>
    <t>295001256</t>
  </si>
  <si>
    <t>-1121884714</t>
  </si>
  <si>
    <t>Protlak pod komunikací D63</t>
  </si>
  <si>
    <t>174999001</t>
  </si>
  <si>
    <t>"odpočet - lože a obsypy potrubí z drobného kameniva (dle kptl. 4)"   -13,5</t>
  </si>
  <si>
    <t>"vytěženo"   67,5</t>
  </si>
  <si>
    <t>89561508</t>
  </si>
  <si>
    <t>"uložení přebytečné vytěžené zeminy na skládce"    13,5*1,800</t>
  </si>
  <si>
    <t>649421433</t>
  </si>
  <si>
    <t>"staveništní přemístění kameniva pro lože a obsypy potrubí (dle kptl. 4)"   13,5</t>
  </si>
  <si>
    <t>-643036912</t>
  </si>
  <si>
    <t>"odpočet - zemina pro zpětné zásypy"   -13,5</t>
  </si>
  <si>
    <t>"vytěženo celkem"   67,5</t>
  </si>
  <si>
    <t>-1112210400</t>
  </si>
  <si>
    <t>"staveništní přemístění kameniva pro lože a obsypy potrubí (dle kptl. 4)" 13,</t>
  </si>
  <si>
    <t>-1595057776</t>
  </si>
  <si>
    <t>1,0*0,5*1,5</t>
  </si>
  <si>
    <t>-1942189232</t>
  </si>
  <si>
    <t>"výkopy pro potrubí"   90*0,5*1,5</t>
  </si>
  <si>
    <t>-352439754</t>
  </si>
  <si>
    <t>Objekt A,B - Vodovodní přípojka</t>
  </si>
  <si>
    <t>{e6023d55-9c10-4574-9caf-66d7ea58f699}</t>
  </si>
  <si>
    <t>vč. DPH</t>
  </si>
  <si>
    <t>Celková cena</t>
  </si>
  <si>
    <t>bez DPH</t>
  </si>
  <si>
    <t>Celkem materiál a montáž</t>
  </si>
  <si>
    <t>Celkem</t>
  </si>
  <si>
    <t>celkem</t>
  </si>
  <si>
    <t>Název položky</t>
  </si>
  <si>
    <t>č.</t>
  </si>
  <si>
    <t>montáž</t>
  </si>
  <si>
    <t>materiál</t>
  </si>
  <si>
    <t>Rekapitulace</t>
  </si>
  <si>
    <t>Sekání prostupy a stavební přípomoce (% z montáží)</t>
  </si>
  <si>
    <t>Drobný materiál (% z materálu)</t>
  </si>
  <si>
    <t>set</t>
  </si>
  <si>
    <t>Revize</t>
  </si>
  <si>
    <t>PD skutečného provedení vč. konečné konfigurace FVE</t>
  </si>
  <si>
    <t>FVE - Uvedení do provozu, první paralelní připojení do DS, zajištění stanoviska a souhlasu distributora, technická podpora při zajištění administrativy licence výrobny, zaškolení obsluhy</t>
  </si>
  <si>
    <t>Koordinace</t>
  </si>
  <si>
    <t>Doklady, předávací protokoly, atesty</t>
  </si>
  <si>
    <t>kč/jm</t>
  </si>
  <si>
    <t>množství</t>
  </si>
  <si>
    <t>jm</t>
  </si>
  <si>
    <t>16. HZS, PD, revize</t>
  </si>
  <si>
    <t>Nastavení systému a konfigurace EMS, BMS, Energy meter parametry ochran sítě, parametry AKU, výroby, přetoků</t>
  </si>
  <si>
    <t>Systém EMS (Datalogger), nástěnné provedení</t>
  </si>
  <si>
    <t>DCbox pro 2 nezávislé DC stringy (2xpoj.odpínač,2xsvodič přepětí T1, svorkovnice)</t>
  </si>
  <si>
    <t>AKU pole 7,1 kWh, kompatibilní se střídačem vč. BMS, rámu kabel. propojení a příslušenství</t>
  </si>
  <si>
    <t>AKU pole 14,2 kWh, kompatibilní se střídačem vč. BMS, rámu kabel. propojení a příslušenství</t>
  </si>
  <si>
    <t>Střídač 5kW, hybridní s podporou AKU pole a BackUp (SW vybavení musí splňovat podmínky paralelního provozu s distribuční soustavou a komunikaci s EMS a EBS)</t>
  </si>
  <si>
    <t>Střídač 10kW, hybridní s podporou AKU pole a BackUp (SW vybavení musí splňovat podmínky paralelního provozu s distribuční soustavou a komunikaci s EMS a EBS)</t>
  </si>
  <si>
    <t>Podpůrná AL konstrukce / rošt pro bez náklonu vč. uchycení (vztaženo na panel)</t>
  </si>
  <si>
    <t>FVE výkonový optimizér kompatibilní se střídačem</t>
  </si>
  <si>
    <t>FVE Panel 405Wp</t>
  </si>
  <si>
    <t>15. Dodávky technologie FVE</t>
  </si>
  <si>
    <t>Elektroinstalační úložný materiál (trubky, lišty) pro PZTS kabeláž</t>
  </si>
  <si>
    <t>Požární ucpávky</t>
  </si>
  <si>
    <t>Kabeláž analogová/binární (stíněná 6x0,5)</t>
  </si>
  <si>
    <t>Kabeláž sběrnice (stíněná 2x0,8+4x0,5)</t>
  </si>
  <si>
    <t>Smoke detektor opticko-teplotní, piezo, BUS</t>
  </si>
  <si>
    <t>Vnitřní siréna vč. deblok tlač. BUS</t>
  </si>
  <si>
    <t>Kódovací klávesnice LCD, RFID čtečka</t>
  </si>
  <si>
    <t>Pomocný zdroj vč. skříně, transf. aku a oddělovače sběrnice</t>
  </si>
  <si>
    <t>Akumulátor 12V/18Ah</t>
  </si>
  <si>
    <t>EZS ústředna sběrnicového typu, min 2x500m sběrnice á 2000mA, max. 230 prvků, max 128 PGM, max. 15 podsystémů, GSM, LAN vč. skříně, zdroje</t>
  </si>
  <si>
    <t>14. PZTS (EZS) - požární detekce</t>
  </si>
  <si>
    <t>Stavební sádra</t>
  </si>
  <si>
    <t>Svodič přepětí pro koax. vedení vč. společné rozvodnice</t>
  </si>
  <si>
    <t>Zásuvka TV/SAT/R koncová pod om. IP20, vč. rám.</t>
  </si>
  <si>
    <t>Lišta PVC 60x40 vč. kolen, spojek a koncovek</t>
  </si>
  <si>
    <t>Krabice elinstalační plastová KO97/5 prázdná s víčkem pod omítku</t>
  </si>
  <si>
    <t>Krabice elinstalační plastová KU 68-1902 s víčkem pod omítku</t>
  </si>
  <si>
    <t>Krabice elinstalační plastová KP67/2 pod omítku prázdná</t>
  </si>
  <si>
    <t>Kabelový žlab - drát 60x60 vč. příslušenství</t>
  </si>
  <si>
    <t>Trubka ohebná PVC, 320N, FX25 pod omítku samozhášivá</t>
  </si>
  <si>
    <t>Trubka ohebná PVC, 320N, FX16 pod omítku samozhášivá</t>
  </si>
  <si>
    <t>Koax kabel 75Ohm</t>
  </si>
  <si>
    <t>Multipřepínač 13in/16out s vlastním zdrojem (tři družice + pozemní TV akt. i pas.), SAT 950-2300MHz, TV 5-862MHz</t>
  </si>
  <si>
    <t>Terrestrální anténa vč. stožáru</t>
  </si>
  <si>
    <t>Satelitní parabola vč. kovertorů a konzole (3 družice) orbitální rozsah 40°</t>
  </si>
  <si>
    <t>13. Satelitní a televizní systém</t>
  </si>
  <si>
    <t>Kabelový žlab - drát 140x60 vč. příslušenství</t>
  </si>
  <si>
    <t>Trubka ohebná PVC, 320N, FX32 pod omítku samozhášivá</t>
  </si>
  <si>
    <t>Kabeláž UTP Cat6</t>
  </si>
  <si>
    <t>SE-PA Kontrola vedení, instalace a konfigurace systému, kontrolní a zkušební provoz, zaškolení, koordinace stavby, dokumentace</t>
  </si>
  <si>
    <t>SE-PA RACK vč. vnitřního vybavení, kompletní (skříň, napájecí panely, zdroje, patch panely, vyvazovací panely, PoE injektory, switche, UPS, VoIP brána, SQL server atp.) dle konkrétního osazeného systému. Komunikace s VoIP objektovou tel. ústřednou</t>
  </si>
  <si>
    <t>DECT Phone - (bezdrátový telefon DECT - analogová linka)</t>
  </si>
  <si>
    <t>Telefonní zásuvka IN-OUT</t>
  </si>
  <si>
    <t>Zásuvka hl. terminálu</t>
  </si>
  <si>
    <t>Repeater  DECT</t>
  </si>
  <si>
    <t>Orientační směrové svítidlo LED IP</t>
  </si>
  <si>
    <t>Svítidlo signalizační LED</t>
  </si>
  <si>
    <t>Táhlo nouzového volání</t>
  </si>
  <si>
    <t>Táhlo a tlačítko nouzového volání</t>
  </si>
  <si>
    <t>Tlačítko nouzového volání</t>
  </si>
  <si>
    <t>Terminál pacienta s tlačítkem volání ošetřovatelky vč. kabelu</t>
  </si>
  <si>
    <t>Zásuvka pacienta s držákem a reproduktorem
(přenos hlasitého hovorového spojení sestra - klient, přenos hlasité
reprodukce rádia a centrální hlašení vždy v případě, je - li koncový prvek
zavěšen v držáku, či zavěšen na hrazdě postele klienta)</t>
  </si>
  <si>
    <t>Hlavní terminál, vč. adaptéru a kabelu k terminálu 2m (Touch screen
monitor min. 10,4", hlasitá a diskrétní komunikace, identifikace volajícího
včetně jména klienta, možnost zobrazení informací z EPS, poslech radiových
stanic na hlavním terminálu, volba IP radiostanic přímo na hlavním terminálu
v uživatelském menu. Možnost integrace s bezdrátovým systémem a
zobrazení bezdrátových bezpečnostních tlačítek s funkcí hlídání průchodu
klientů zakázanou zónou, ve spojení s IP kamerou zobrazení online přenosu
od vchodu na oddělení)</t>
  </si>
  <si>
    <t>Pokojový terminál hovorový
(minimálně 4 programovatelná tlačítka, hovorové spojení s hlavním
terminálem, příjem hovorového volání od lůžka klienta, hlasová navigace -
informace o volajícím, číslo pokoje/lůžka, centrální hlášení přenos hlasové
informace - nucený poslech)</t>
  </si>
  <si>
    <t>12. SE-PA - Sestra - pacient</t>
  </si>
  <si>
    <t>Sekání, prostupy a stavební přípomoce vč. začištění (% z montáží)</t>
  </si>
  <si>
    <t>Stavební sádra - šedá</t>
  </si>
  <si>
    <t>Konfigurace a oživení systému datové sítě, zaškolení</t>
  </si>
  <si>
    <t>Svodič přepětí pro ISDN linky vč. rozvodnice</t>
  </si>
  <si>
    <t>Kabelová chránička HDPE 12/8 silnostěnná</t>
  </si>
  <si>
    <t>Kabelová chránička d 40</t>
  </si>
  <si>
    <t>Krabice elinstalační plastová KT250 prázdná s víčkem pod omítku</t>
  </si>
  <si>
    <t>Krabice elinstalační plastová KP67/2 pod omítku prázdná - přístrojová</t>
  </si>
  <si>
    <t>Telekomunikační krabice MIS, zapuštěná kompletní, 100párů</t>
  </si>
  <si>
    <t>Datová zásuvka dvojnásobná, maska, keyston, kryt, rám. - vč. proměření</t>
  </si>
  <si>
    <t>TELEFON-IP telefon - až 2 SIP účty, 2,95" LCD, konferenční audiohovor až pro 3 účastníky, Ethernet: 2 x 10/100/1000 Mb/s, PoE</t>
  </si>
  <si>
    <t>TELEFON-IP Videotelefon - až 6 SIP účtů, 7" kapacitní dotykový LCD (1024x600), CMOS kamera, konferenční videohovor pro 3 účastníky, konferenční audiohovor až pro 6 účastníků, WIFI (802.11b/g/n), Bluetooth 4.0, mini HDMI, SD, 2xUSB, HD audio, HD video (720p přes mini HDMI výstup), Ethernet: 2 x 10/100/1000 Mb/s, POE, konektor pro náhlavní soupravu RJ9 (podpora EHS Plantronics) + 3,5 mm konektor, nastavitelný podstavec telefonu,možnost zavěšení na zeď</t>
  </si>
  <si>
    <t>TU - VoIP tel. ústředna, min 20 kanálů, 10 souběžných, BRI, GSM, ant + napaječ, vč  instalace, konfigurace a nastavení</t>
  </si>
  <si>
    <t>CCTV-konzole</t>
  </si>
  <si>
    <t>CCTV - HDD,3,5", 4TB, SATA6, 24/7 vhodný pro záznam videa</t>
  </si>
  <si>
    <t>CCTV - NVR - Záznamové zařízení - 32 IP kamer, 4K rozlišení, komprese H.265, propustnost 320 Mbps, 2 x HDMI/VGA výstup, ovládání USB myší, 4 x HDD (není součástí), max. 24 TB, 2 x Gb LAN, poplach 16/6, 3 x USB, web, Smart PSS, aplikace DMSS, 230 V~/16,7 W, vnitřní -10 až 55°C, 440 x 75 x 413 mm</t>
  </si>
  <si>
    <t>CCTV - /venkovní/ - IP kamera barevná, kompaktní BULLET, venkovní 4 Mpix při 20 sn/s, obj. f=3,6 mm (84°), 0,01/0 lux, IR 40 m, D/N mechanický IR filtr, 1/3" CMOS, WDR (120 dB), 3D-DNR, 5 typů videoanalýzy obrazu, IE, Mozilla, Smart PSS, DMSS aplikace, PoE 48 V=/6 W nebo 12 V=, kov, bílo-černá, IP67, venkovní -30 až 60°C, 70 x 70 x 180 mm</t>
  </si>
  <si>
    <t>CCTV /vnitřní/ - IP kamera barevná, kompaktní FIXED DOME, venkovní antivandal mini dome 2 Mpix při 25 sn/s, obj. f=2,8 mm (93°), 0,1/0 lux při IR 30 m, D/N mechanický IR filtr, 1/2,7" CMOS, DWDR, 3D-DNR, corridor 90°, IE, Mozilla, Smart PSS, DMSS aplikace, PoE 48 V=/4 W nebo 12 V=, 3 osy, kov, bílá, IP67, IK10, venkovní -30 až 60°C, O 110 x 81 mm</t>
  </si>
  <si>
    <t>Elektrický otevírač nízkoodběrový, 12V, vč. příslušenství, (klika-koule)</t>
  </si>
  <si>
    <t>Tlačítkové tablo 2x6tl.,klávesnice, IP CCTV, RFID, antivandal vč. 2x upevňovacího a krycího rámečku, krytu proti dešti a instalační krabice</t>
  </si>
  <si>
    <t>Čtečka čipových karet, IP, NFC, klávesnice, centrální správa, kompatibilní s tlačítkovými tably, 125kHz, 12V,relé, IK08, IP54, PoE</t>
  </si>
  <si>
    <t>Anténa 802.11a/b/g/n/ac, 2,4 i 5GHz, vícenásobné SSID s různým druhem zabezpečení, PoE napájení standardu 802.3af/802.3at, dvě integrované 3dBi antény v systému MIMO 3x3, Load balance, centrální správou</t>
  </si>
  <si>
    <t>Ukončení metalických kabelů UTP cat.6 vč. proměření a konektoru</t>
  </si>
  <si>
    <t>Ukončení 10x2x0,5</t>
  </si>
  <si>
    <t>Ukončení 5x4x0,6</t>
  </si>
  <si>
    <t>Kabel TCEPKPFLE 5x4x0,6</t>
  </si>
  <si>
    <t>Kabel SYKFY 10x2x0,5</t>
  </si>
  <si>
    <t>Kabel SYKFY 5x2x0,5</t>
  </si>
  <si>
    <t>Kabel SYKFY 3x2x0,5</t>
  </si>
  <si>
    <t>Kabel SYKFY 2x2x0,5</t>
  </si>
  <si>
    <t>RACK-Ukončení metalických kabelů UTP cat.6 vč. proměření (keyston součástí patch panelu)</t>
  </si>
  <si>
    <t>RACK-Router</t>
  </si>
  <si>
    <t>RACK-WiFi controler</t>
  </si>
  <si>
    <t>RACK-SFP Transceiver</t>
  </si>
  <si>
    <t>RACK-Switch 24port 10/100/1000 mng, VLAN, 4xSFP, PoE</t>
  </si>
  <si>
    <t>RACK-Záložní zdroj pro RACK 1U 750VA, vč. příslušenství</t>
  </si>
  <si>
    <t>RACK-Patch kabel FTP cat6 2m</t>
  </si>
  <si>
    <t>RACK-Patch kabel FTP cat6 0,5m</t>
  </si>
  <si>
    <t>RACK-Polička</t>
  </si>
  <si>
    <t>RACK-Napájecí panel 5x230V, přep. ochrana</t>
  </si>
  <si>
    <t>RACK-Vyvazovací panel</t>
  </si>
  <si>
    <t>RACK-Patch panel 24port vč. keyston, cat 6</t>
  </si>
  <si>
    <t>RACK-Patch panel 25port vč. keyston, cat 3</t>
  </si>
  <si>
    <t>RACK-Ukončení optických vláken (LC, nebo dle dohody) vč. pigtail a ochr. sváru a vč. proměření</t>
  </si>
  <si>
    <t>RACK-Výsuvný optický rozváděč do 19" RACK, 24 LC duplex vč. opt. kazety a čela</t>
  </si>
  <si>
    <t>RACK-Ventilační jednotka 1U vč. termostatu</t>
  </si>
  <si>
    <t>RACK-Datový rozváděč 42U 800x800 vč. montáže a ukončení kabelů</t>
  </si>
  <si>
    <t>11. Strukturovaná kabeláž, telekomunikace, A/V, Domovní telefon</t>
  </si>
  <si>
    <t>Svorka SR02 páska-páska</t>
  </si>
  <si>
    <t>Svorka SR03 páska-drát</t>
  </si>
  <si>
    <t>Držák OU</t>
  </si>
  <si>
    <t>Ochranný úhelník</t>
  </si>
  <si>
    <t>Izolovaná podpěra (40cm) pro oddálení pom. jímače</t>
  </si>
  <si>
    <t>Svorka k jímací tyči SJ01</t>
  </si>
  <si>
    <t>Jímací tyč 2m vč. kotvení a příslušenství</t>
  </si>
  <si>
    <t>Pomocný jímač z drátu výšky 0,4m</t>
  </si>
  <si>
    <t>Podpěra svodu (plast 20mm) + trn min 100 přesah nad tepelnou izolaci</t>
  </si>
  <si>
    <t>Podpěra vedení pro ploché střechy vč. přísl.</t>
  </si>
  <si>
    <t>Svorka univerzální</t>
  </si>
  <si>
    <t>Svorka pro připojení náhodných součástí</t>
  </si>
  <si>
    <t>Svorka ST Okapové potrubí</t>
  </si>
  <si>
    <t>Svorka SO okapová</t>
  </si>
  <si>
    <t>Svorka SK křížová</t>
  </si>
  <si>
    <t>Svorka SZ zkušební</t>
  </si>
  <si>
    <t>Svorka SS spojovací</t>
  </si>
  <si>
    <t>Vodiš CYA 25 zž</t>
  </si>
  <si>
    <t>Zemnící drát AlMgSi 8</t>
  </si>
  <si>
    <t>Zemnící drát FeZn 10</t>
  </si>
  <si>
    <t>Zemnící pásek FeZn 30x4</t>
  </si>
  <si>
    <t>10. Hromosvody a uzemnění</t>
  </si>
  <si>
    <t>Sekání, prostupy a stavební přípomoce (% z montáží)</t>
  </si>
  <si>
    <t>"NO" typ:LED Svítidlo nouzové 1,2W, 1hod, IP43, test tl.</t>
  </si>
  <si>
    <t>"NO2" typ:LED Svítidlo nouzové, vestavné, 1W, 1hod, IP20, test tl., 90x90x53mm</t>
  </si>
  <si>
    <t>"-" typ: LED pásek pod/nad kuch. linku(1x LED pásek), IP20, vč. zdroje, lišty a přísl., cca 4m</t>
  </si>
  <si>
    <t>"Z" typ: Svítidlo kruhové, polovestavné, LED 50W, 4480 lm, DALI, d=500mm, h=40+80mm, IP44, opálový skleněný kryt, kovová základna vč. zdrojů, stropní</t>
  </si>
  <si>
    <t>"W" typ: Svítidlo LED 36W, 3600 lm, DALI, plech+prizm. kryt, IP54, 50000hod, vestavné kruhové (d=390mmmm)</t>
  </si>
  <si>
    <t>"V" typ: Svítidlo LED 28W, 3000 lm, DALI, plech+prizm. kryt, IP54, 50000hod, vestavné kruhové (d=390mmmm)</t>
  </si>
  <si>
    <t>"U" typ: Svítidlo LED 18W, 1600 lm, DALI, plech+prizm. kryt, IP54, 50000hod, vestavné kruhové (d=210mmmm)</t>
  </si>
  <si>
    <t>"R" typ: Svítidlo fasádní LED, nástěnné direct/indirect dle výběru ARCH, 9W, 850 lm, IP54, hliník, tmavě šedá, 85x88mm</t>
  </si>
  <si>
    <t>"Q" typ: Svítidlo zahradní LED, patkové 60cm dle výběru ARCH, 6W, 400 lm, IP44, plech+PC, antracit, vč. mont. Přísl a stabil. desky</t>
  </si>
  <si>
    <t>"P" typ: Lampička LED, nástěnná dle výběru ARCH (pokoj, lůžko)</t>
  </si>
  <si>
    <t>"O" typ: Svítidlo na umyvadlo LED 9W, 850 lm, š=310mm, v=95mm, hl=83, IP43, opálový skleněný kryt, kovová základna vč. zdrojů</t>
  </si>
  <si>
    <t>"N" typ: Svítidlo kruhové, LED 29W, 3000 lm, DALI, d=420mm, h=125mm, IP43, opálový skleněný kryt, kovová základna vč. zdrojů, stropní</t>
  </si>
  <si>
    <t>"H" typ: Svítidlo LED přisazené, IP65, 20W, 2700 lm, DALI, korpus PE, opál. kryt PC, 1275x135</t>
  </si>
  <si>
    <t>"G" typ: Svítidlo LED přisazené, IP65, 40W, 5500 lm, DALI, korpus PE, opál. kryt PC, 1275x135</t>
  </si>
  <si>
    <t>"F" typ: Svítidlo LED 17W, 1800 lm, DALI, AL rám, prizm. kryt, IP40, 50000hod, vestavné (600x300mm) vč. AL rámu pro přisazenou montáž</t>
  </si>
  <si>
    <t>"E" typ: Svítidlo LED 26W, 2600 lm, DALI, AL rám, prizm. kryt, IP40, 50000hod, vestavné (600x300mm), vč. AL rámu pro přisazenou montáž</t>
  </si>
  <si>
    <t>"D" typ: Svítidlo LED 52W, 5800 lm, DALI, AL rám, prizm. kryt, IP40, 50000hod, vestavné (600x600mm), vč. AL rámu pro přisazenou montáž</t>
  </si>
  <si>
    <t>"C" typ: Svítidlo LED 34W, 4100 lm, DALI, AL rám, prizm. kryt, IP40, 50000hod, vestavné (600x600mm) vč. AL rámu pro přisazenou montáž</t>
  </si>
  <si>
    <t>"B" typ: Svítidlo LED 35W, 4000 lm, DALI, AL rám, prizm. kryt, IP40, 50000hod, vestavné (1200x300mm), vč. AL rámu pro přisazenou montáž</t>
  </si>
  <si>
    <t>"A" typ: Svítidlo LED 54W, 5650 lm, DALI, AL rám, prizm. kryt, IP40, 50000hod, vestavné (1200x300mm), vč. AL rámu pro přisazenou montáž</t>
  </si>
  <si>
    <t>9. Svítidla vč. zdrojů a předřadníků</t>
  </si>
  <si>
    <t>Přípojnice PE, N, HOP, Lišty DIN, propojovací přípojnice 63A/3P, svorky, štítky, vodiče</t>
  </si>
  <si>
    <t>Ukončení kabelů v rozváděči do 4x10</t>
  </si>
  <si>
    <t>Ukončení kabelů v rozváděči do 4x25</t>
  </si>
  <si>
    <t>Stykač 63A 230V, 4P</t>
  </si>
  <si>
    <t>Jistič 1B6A 10kA</t>
  </si>
  <si>
    <t>Jistič 3C16A 10kA</t>
  </si>
  <si>
    <t>Jistič 3C25A 10kA</t>
  </si>
  <si>
    <t>Jistič 3B40A 10kA</t>
  </si>
  <si>
    <t>Svodič přepětí 4p, kategorie T1 a T2, In=30kA(8/20), Up=1,5kV</t>
  </si>
  <si>
    <t>Hlavní vypínač 3P 63A vestavný, vč. pom. kontaktu</t>
  </si>
  <si>
    <t>Skříň 800x600x250, oceloplechový, povrchový IP65/20 vč. mont.panelu</t>
  </si>
  <si>
    <t>8. Rozváděč RFVE-A</t>
  </si>
  <si>
    <t>Stykač 20A 230V, 2P</t>
  </si>
  <si>
    <t>Stykač 25A 230V, 4P</t>
  </si>
  <si>
    <t>Stykač 40A 230V, 4P</t>
  </si>
  <si>
    <t>Jistič 1B10A 10kA</t>
  </si>
  <si>
    <t>Jistič 3B16A 10kA</t>
  </si>
  <si>
    <t>Hlavní vypínač 3P 125A DIN</t>
  </si>
  <si>
    <t>Skříň 800x550x160, 5x24 mod (120), plastový, povrchová IP44/20 vč. vkl. Konstrukce</t>
  </si>
  <si>
    <t>7. Rozváděč RTC</t>
  </si>
  <si>
    <t>DALI controler, 4x REL 5A/230V, 4x DALI Link, LAN, USB</t>
  </si>
  <si>
    <t>Proudový chránič s nadpropudovou ochr. B16A/0,03/2, 10kA (typ A)</t>
  </si>
  <si>
    <t>Proudový chránič s nadpropudovou ochr. C10A/0,03/2, 10kA (typ A)</t>
  </si>
  <si>
    <t>Proudový chránič 40/0,03/4, 10kA (typ A)</t>
  </si>
  <si>
    <t>Jistič 1C16A 10kA</t>
  </si>
  <si>
    <t>Hlavní vypínač 3P 63A DIN</t>
  </si>
  <si>
    <t>Skříň 550x1070x110, 6x24 mod (144), ocelplechová, zapuštěná IP30/20 vč. vkl. Konstrukce</t>
  </si>
  <si>
    <t>6. Rozváděč RA22</t>
  </si>
  <si>
    <t>5. Rozváděč RA21</t>
  </si>
  <si>
    <t>Zdroj proudu 230V/12VDC, 7,1A</t>
  </si>
  <si>
    <t>Skříň 1070x776x110, 6x36 mod (216), ocelplechová, zapuštěná IP30/20 vč. vkl. Konstrukce</t>
  </si>
  <si>
    <t>4. Rozváděč RA11</t>
  </si>
  <si>
    <t>Ukončení kabelů v rozváděči do 4x50</t>
  </si>
  <si>
    <t>MTP 100/5A, TP1,0, 2VA</t>
  </si>
  <si>
    <t>Energy meter (4Q ELM pro FVE, x/5, RS485, kompatibilní s technoogií FVE), DIN</t>
  </si>
  <si>
    <t>Zkušební svorkovnice (L1,L2,L3,N,PE,3xMTP), DIN provedení</t>
  </si>
  <si>
    <t>Pojistkový odpínač vel.10  1P vč. válcových pojistek</t>
  </si>
  <si>
    <t>Podružný elektroměr 3f 230V/0,025-65 A/Tp=1/cejch, DIN, 7TE</t>
  </si>
  <si>
    <t>Jistič 3B32A 10kA</t>
  </si>
  <si>
    <t>Jistič 3B50A 10kA</t>
  </si>
  <si>
    <t>Jistič 3B63A 10kA</t>
  </si>
  <si>
    <t>Skříň 1220x776x110, 7x36 mod (252), ocelplechová, zapuštěná IP30/20 vč. vkl. Konstrukce</t>
  </si>
  <si>
    <t>3. Rozváděč RHA</t>
  </si>
  <si>
    <t>Ukončení kabelů do 4x10</t>
  </si>
  <si>
    <t>Ukončení kabelů do 4x25</t>
  </si>
  <si>
    <t>Ukončení kabelů do 4x50</t>
  </si>
  <si>
    <t>Montáž připojení - ZTI - aku nádrž</t>
  </si>
  <si>
    <t>Šachta d 400/250 (ukončení kab. pro nabíjení OA) vč. víka</t>
  </si>
  <si>
    <t>ELM rozvávěč 1+1/FVE, polopřímé měření, typový plastový vč. pilíře a stabilizační desky (1x 3B100A, MTP, poj. odpínač, ZS1b, HDO, OR, FVE) dle připojovacích podmínek pro výrobny FVE do 100kW</t>
  </si>
  <si>
    <t>Výstražná folie, červená s bleskem, š=33cm</t>
  </si>
  <si>
    <t>Kabelová chránička d 90</t>
  </si>
  <si>
    <t>Kabelová chránička d 63</t>
  </si>
  <si>
    <t>Kabel CYKY-J 5x1,5</t>
  </si>
  <si>
    <t>Kabel CYKY-J 5x2,5</t>
  </si>
  <si>
    <t>Kabel CYKY-J 5x10</t>
  </si>
  <si>
    <t>Kabel CYKY-J 5x16</t>
  </si>
  <si>
    <t>Kabel CYKY-J 4x25</t>
  </si>
  <si>
    <t>Kabel CYKY-J 4x50</t>
  </si>
  <si>
    <t>2. Elektroinstalace -  napojení NN, rozváděčů, měření, venkovní obvody</t>
  </si>
  <si>
    <t>Montáž připojení - Stavba - LivingWall</t>
  </si>
  <si>
    <t>Montáž připojení - Stavba - aut. posuvné dveře</t>
  </si>
  <si>
    <t>Montáž připojení - Stavba - předokenní žaluzie</t>
  </si>
  <si>
    <t>Montáž připojení - Stavba - pohon okna</t>
  </si>
  <si>
    <t>Montáž připojení - Stavba - var. desky, myčky</t>
  </si>
  <si>
    <t>Montáž připojení - KLIMA - venkovní jednotky</t>
  </si>
  <si>
    <t>Montáž připojení - UT - podl. rozdělovače</t>
  </si>
  <si>
    <t>Montáž připojení - VZT - VAV box</t>
  </si>
  <si>
    <t>Montáž připojení - VZT - Rekuperační jednotka</t>
  </si>
  <si>
    <t>Montáž připojení - VZT - Ventilátor, digestoř</t>
  </si>
  <si>
    <t>Montáž připojení - ZTI - vana</t>
  </si>
  <si>
    <t>Montáž připojení - ZTI - střešní vpusť</t>
  </si>
  <si>
    <t>Svorka pro pospojení vč. Cu pásku</t>
  </si>
  <si>
    <t>Hlavní ochranná přípojnice</t>
  </si>
  <si>
    <t>Vodič CY 16 zž</t>
  </si>
  <si>
    <t>Vodič CY 10 zž</t>
  </si>
  <si>
    <t>Vodič CY 6 zž</t>
  </si>
  <si>
    <t>Vodič CY 4 zž</t>
  </si>
  <si>
    <t>Termostat IP44, 230V/10A nástěnný, venkovní, 3°C</t>
  </si>
  <si>
    <t>DALI programování systému</t>
  </si>
  <si>
    <t>DALI OUT 4xREL vč. instalační krabice</t>
  </si>
  <si>
    <t>DALI Coupler 4x IN (do instalační krabice pod přístroj)</t>
  </si>
  <si>
    <t>Pomocné relé do el. krabice 230V/16A</t>
  </si>
  <si>
    <t>Pohybový spínač 230V/10A IP44 180°</t>
  </si>
  <si>
    <t>Pohybový spínač 230V/10A IP20 180° pod. om., vč. rámečku</t>
  </si>
  <si>
    <t>Tlačítko řaz 2x 1/0 230V/10A pod omítku IP44</t>
  </si>
  <si>
    <t>Vypínač řaz. 3 400V/16A pod omítku IP20 vč. kolébky, dout a rám.</t>
  </si>
  <si>
    <t>Spínač žaluziový elektronický 230V/10A pod omítku IP20 vč. kolébky a rám.</t>
  </si>
  <si>
    <t>Tlačítko řaz. 2x 1/0 230V/10A pod omítku IP20 vč. kolébky a rám.</t>
  </si>
  <si>
    <t>Tlačítko řaz. 1/0 230V/10A pod omítku IP20 vč. kolébky a rám.</t>
  </si>
  <si>
    <t>Vypínač řaz. 1 230V/10A pod omítku IP20 vč. kolébky a rám.</t>
  </si>
  <si>
    <t>Zásuvka 400V/16A po omítku IP44, 5p vč. krabice</t>
  </si>
  <si>
    <t>Zásuvka 230V/16A pod om. IP44, clonky, vč. rám.</t>
  </si>
  <si>
    <t>Zásuvka 230V/16A pod om. IP20, clonky, vč. rám. a sv. přep.</t>
  </si>
  <si>
    <t>Zásuvka 230V/16A pod om. IP20, clonky, vč. rám.</t>
  </si>
  <si>
    <t>Zásuvka 230V/16A pod om. IP20 otoč, clonky, dvojitá</t>
  </si>
  <si>
    <t>Kabel H05VV-F 5Gx2,5</t>
  </si>
  <si>
    <t>Kabel SOLAR 1x6 (FVE)</t>
  </si>
  <si>
    <t>Kabel CYKY-J 5x4</t>
  </si>
  <si>
    <t>Kabel CYKY-J 3x2,5</t>
  </si>
  <si>
    <t>Kabel CYKY-J 3x1,5</t>
  </si>
  <si>
    <t>Kabel CYKY-O 3x1,5</t>
  </si>
  <si>
    <t>Kabel CYKY-O 2x2,5</t>
  </si>
  <si>
    <t>Lišta PVC 40x40 vč. kolen, spojek a koncovek</t>
  </si>
  <si>
    <t>Lišta PVC 13x18 vč. kolen, spojek a koncovek</t>
  </si>
  <si>
    <t>Trubka tuhá PVC, 320N, VRM40 samozhášivá vč. kolen, spojek a příchytek</t>
  </si>
  <si>
    <t>Trubka tuhá PVC, 320N, VRM32 samozhášivá vč. kolen, spojek a příchytek</t>
  </si>
  <si>
    <t>Trubka tuhá PVC, 320N, VRM25 samozhášivá vč. kolen, spojek a příchytek</t>
  </si>
  <si>
    <t>Trubka tuhá PVC, 320N, VRM16 samozhášivá vč. kolen, spojek a příchytek</t>
  </si>
  <si>
    <t>Trubka ohebná PVC, 320N, FX40 samozhášivá vč. kolen, spojek a příchytek</t>
  </si>
  <si>
    <t>Trubka ohebná PVC, 320N, FX32 samozhášivá vč. kolen, spojek a příchytek</t>
  </si>
  <si>
    <t>Trubka ohebná PVC, 320N, FX25 samozhášivá vč. kolen, spojek a příchytek</t>
  </si>
  <si>
    <t>Trubka ohebná PVC, 320N, FX16 samozhášivá vč. kolen, spojek a příchytek</t>
  </si>
  <si>
    <t>Krabice elektroinstalační podlahová vč. přísl. a krycí desky</t>
  </si>
  <si>
    <t>Krabice elektroinstalační plastová do zateplovacích systémů</t>
  </si>
  <si>
    <t>Krabice elinstalační plastová KO97/5 prázdná s víčkem pod omítku rozvodná</t>
  </si>
  <si>
    <t>Krabice elinstalační plastová KU 68-1902 s víčkem pod omítku - rozvodná</t>
  </si>
  <si>
    <t>Krabice elinstalační plastová KPR68 hluboká pod omítku prázdná</t>
  </si>
  <si>
    <t>Krabice elinstalační plastová 6455-11P se svorkovnicí a víčkem nad omítku IP54</t>
  </si>
  <si>
    <t>1. Elektroinstalace - silnoproudá</t>
  </si>
  <si>
    <t>PD skutečného provedení</t>
  </si>
  <si>
    <t>Kabelová chránička HDPE 40</t>
  </si>
  <si>
    <t>Kabel OPTO singlemode 8vl. 9/125 (500N) univerzální nebo vhodný pro zafouknutí</t>
  </si>
  <si>
    <t>8. Rozváděč RFVE-B</t>
  </si>
  <si>
    <t>6. Rozváděč RB22</t>
  </si>
  <si>
    <t>5. Rozváděč RB21</t>
  </si>
  <si>
    <t>4. Rozváděč RB11</t>
  </si>
  <si>
    <t>DALI relé, 4x REL 10A/230V</t>
  </si>
  <si>
    <t>3. Rozváděč RHB</t>
  </si>
  <si>
    <t>Montáž připojení - Stavba - pohon brány</t>
  </si>
  <si>
    <t>Zásuvková skříň, 2x16A/400V/5p, 4x16A/230V/2p+PE vč. nos. konstrukce</t>
  </si>
  <si>
    <t>Rozvoj komunitních sociálních služeb DOZP v lokalitě Jičín - aktualizace PD - změna PD 11/2022</t>
  </si>
  <si>
    <t>15. 3. 2022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</si>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</sst>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44" formatCode="_-* #,##0.00\ &quot;Kč&quot;_-;\-* #,##0.00\ &quot;Kč&quot;_-;_-* &quot;-&quot;??\ &quot;Kč&quot;_-;_-@_-"/>
    <numFmt numFmtId="164" formatCode="#,##0.00%"/>
    <numFmt numFmtId="165" formatCode="dd\.mm\.yyyy"/>
    <numFmt numFmtId="166" formatCode="#,##0.00000"/>
    <numFmt numFmtId="167" formatCode="#,##0.000"/>
    <numFmt numFmtId="168" formatCode="&quot;DPH &quot;???,???.?0\ &quot;Kč&quot;"/>
    <numFmt numFmtId="169" formatCode="&quot;Základ    &quot;???,???.?0\ &quot;Kč&quot;"/>
    <numFmt numFmtId="170" formatCode="##&quot;% DPH&quot;"/>
    <numFmt numFmtId="171" formatCode="???,???.?0\ &quot;Kč&quot;\ &quot;vč. DPH 21%&quot;"/>
    <numFmt numFmtId="172" formatCode="???,???.?0\ &quot;Kč&quot;\ &quot;vč. DPH 15%&quot;"/>
    <numFmt numFmtId="173" formatCode="&quot;Celková cena     &quot;???,???.?0\ &quot;Kč&quot;\ &quot;vč. DPH 5%&quot;"/>
    <numFmt numFmtId="174" formatCode="_-* #,##0.00\ _K_č_-;\-* #,##0.00\ _K_č_-;_-* &quot;-&quot;??\ _K_č_-;_-@_-"/>
    <numFmt numFmtId="175" formatCode="_-* #,##0.0\ _K_č_-;\-* #,##0.0\ _K_č_-;_-* &quot;-&quot;?\ _K_č_-;_-@_-"/>
  </numFmts>
  <fonts count="45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u/>
      <sz val="11"/>
      <color theme="10"/>
      <name val="Calibri"/>
      <scheme val="minor"/>
    </font>
    <font>
      <sz val="8"/>
      <color rgb="FF800080"/>
      <name val="Arial CE"/>
    </font>
    <font>
      <sz val="10"/>
      <name val="Arial CE"/>
      <charset val="238"/>
    </font>
    <font>
      <sz val="6"/>
      <name val="Arial CE"/>
      <charset val="238"/>
    </font>
    <font>
      <b/>
      <sz val="8"/>
      <name val="Arial CE"/>
      <family val="2"/>
      <charset val="238"/>
    </font>
    <font>
      <b/>
      <sz val="10"/>
      <name val="Arial CE"/>
      <charset val="238"/>
    </font>
    <font>
      <b/>
      <sz val="6"/>
      <name val="Arial CE"/>
      <charset val="238"/>
    </font>
    <font>
      <sz val="6"/>
      <name val="Arial CE"/>
      <family val="2"/>
      <charset val="238"/>
    </font>
    <font>
      <b/>
      <sz val="6"/>
      <name val="Arial CE"/>
      <family val="2"/>
      <charset val="238"/>
    </font>
    <font>
      <b/>
      <sz val="8"/>
      <name val="Arial CE"/>
      <charset val="238"/>
    </font>
    <font>
      <sz val="8"/>
      <name val="Arial CE"/>
      <charset val="238"/>
    </font>
  </fonts>
  <fills count="7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rgb="FFFF0000"/>
        <bgColor indexed="64"/>
      </patternFill>
    </fill>
    <fill>
      <patternFill patternType="solid">
        <fgColor rgb="FF00B0F0"/>
        <bgColor indexed="64"/>
      </patternFill>
    </fill>
  </fills>
  <borders count="52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/>
      <right/>
      <top/>
      <bottom style="double">
        <color auto="1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</borders>
  <cellStyleXfs count="3">
    <xf numFmtId="0" fontId="0" fillId="0" borderId="0"/>
    <xf numFmtId="0" fontId="34" fillId="0" borderId="0" applyNumberFormat="0" applyFill="0" applyBorder="0" applyAlignment="0" applyProtection="0"/>
    <xf numFmtId="0" fontId="36" fillId="0" borderId="0"/>
  </cellStyleXfs>
  <cellXfs count="306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4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4" borderId="7" xfId="0" applyFill="1" applyBorder="1" applyAlignment="1">
      <alignment vertical="center"/>
    </xf>
    <xf numFmtId="0" fontId="19" fillId="4" borderId="0" xfId="0" applyFont="1" applyFill="1" applyAlignment="1">
      <alignment horizontal="center" vertical="center"/>
    </xf>
    <xf numFmtId="0" fontId="20" fillId="0" borderId="16" xfId="0" applyFont="1" applyBorder="1" applyAlignment="1">
      <alignment horizontal="center" vertical="center" wrapText="1"/>
    </xf>
    <xf numFmtId="0" fontId="20" fillId="0" borderId="17" xfId="0" applyFont="1" applyBorder="1" applyAlignment="1">
      <alignment horizontal="center" vertical="center" wrapText="1"/>
    </xf>
    <xf numFmtId="0" fontId="20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4" fontId="21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7" fillId="0" borderId="14" xfId="0" applyNumberFormat="1" applyFont="1" applyBorder="1" applyAlignment="1">
      <alignment vertical="center"/>
    </xf>
    <xf numFmtId="4" fontId="17" fillId="0" borderId="0" xfId="0" applyNumberFormat="1" applyFont="1" applyAlignment="1">
      <alignment vertical="center"/>
    </xf>
    <xf numFmtId="166" fontId="17" fillId="0" borderId="0" xfId="0" applyNumberFormat="1" applyFont="1" applyAlignment="1">
      <alignment vertical="center"/>
    </xf>
    <xf numFmtId="4" fontId="17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4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6" fillId="0" borderId="14" xfId="0" applyNumberFormat="1" applyFont="1" applyBorder="1" applyAlignment="1">
      <alignment vertical="center"/>
    </xf>
    <xf numFmtId="4" fontId="26" fillId="0" borderId="0" xfId="0" applyNumberFormat="1" applyFont="1" applyAlignment="1">
      <alignment vertical="center"/>
    </xf>
    <xf numFmtId="166" fontId="26" fillId="0" borderId="0" xfId="0" applyNumberFormat="1" applyFont="1" applyAlignment="1">
      <alignment vertical="center"/>
    </xf>
    <xf numFmtId="4" fontId="26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6" fillId="0" borderId="19" xfId="0" applyNumberFormat="1" applyFont="1" applyBorder="1" applyAlignment="1">
      <alignment vertical="center"/>
    </xf>
    <xf numFmtId="4" fontId="26" fillId="0" borderId="20" xfId="0" applyNumberFormat="1" applyFont="1" applyBorder="1" applyAlignment="1">
      <alignment vertical="center"/>
    </xf>
    <xf numFmtId="166" fontId="26" fillId="0" borderId="20" xfId="0" applyNumberFormat="1" applyFont="1" applyBorder="1" applyAlignment="1">
      <alignment vertical="center"/>
    </xf>
    <xf numFmtId="4" fontId="26" fillId="0" borderId="21" xfId="0" applyNumberFormat="1" applyFont="1" applyBorder="1" applyAlignment="1">
      <alignment vertical="center"/>
    </xf>
    <xf numFmtId="0" fontId="27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4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9" fillId="4" borderId="0" xfId="0" applyFont="1" applyFill="1" applyAlignment="1">
      <alignment horizontal="left" vertical="center"/>
    </xf>
    <xf numFmtId="0" fontId="19" fillId="4" borderId="0" xfId="0" applyFont="1" applyFill="1" applyAlignment="1">
      <alignment horizontal="right" vertical="center"/>
    </xf>
    <xf numFmtId="0" fontId="28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19" fillId="4" borderId="16" xfId="0" applyFont="1" applyFill="1" applyBorder="1" applyAlignment="1">
      <alignment horizontal="center" vertical="center" wrapText="1"/>
    </xf>
    <xf numFmtId="0" fontId="19" fillId="4" borderId="17" xfId="0" applyFont="1" applyFill="1" applyBorder="1" applyAlignment="1">
      <alignment horizontal="center" vertical="center" wrapText="1"/>
    </xf>
    <xf numFmtId="0" fontId="19" fillId="4" borderId="18" xfId="0" applyFont="1" applyFill="1" applyBorder="1" applyAlignment="1">
      <alignment horizontal="center" vertical="center" wrapText="1"/>
    </xf>
    <xf numFmtId="4" fontId="21" fillId="0" borderId="0" xfId="0" applyNumberFormat="1" applyFont="1"/>
    <xf numFmtId="166" fontId="29" fillId="0" borderId="12" xfId="0" applyNumberFormat="1" applyFont="1" applyBorder="1"/>
    <xf numFmtId="166" fontId="29" fillId="0" borderId="13" xfId="0" applyNumberFormat="1" applyFont="1" applyBorder="1"/>
    <xf numFmtId="4" fontId="30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4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0" fillId="0" borderId="3" xfId="0" applyBorder="1" applyAlignment="1" applyProtection="1">
      <alignment vertical="center"/>
      <protection locked="0"/>
    </xf>
    <xf numFmtId="0" fontId="19" fillId="0" borderId="22" xfId="0" applyFont="1" applyBorder="1" applyAlignment="1" applyProtection="1">
      <alignment horizontal="center" vertical="center"/>
      <protection locked="0"/>
    </xf>
    <xf numFmtId="49" fontId="19" fillId="0" borderId="22" xfId="0" applyNumberFormat="1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center" vertical="center" wrapText="1"/>
      <protection locked="0"/>
    </xf>
    <xf numFmtId="167" fontId="19" fillId="0" borderId="22" xfId="0" applyNumberFormat="1" applyFont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  <protection locked="0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Alignment="1">
      <alignment horizontal="center" vertical="center"/>
    </xf>
    <xf numFmtId="166" fontId="20" fillId="0" borderId="0" xfId="0" applyNumberFormat="1" applyFont="1" applyAlignment="1">
      <alignment vertical="center"/>
    </xf>
    <xf numFmtId="166" fontId="20" fillId="0" borderId="15" xfId="0" applyNumberFormat="1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1" fillId="0" borderId="22" xfId="0" applyFont="1" applyBorder="1" applyAlignment="1" applyProtection="1">
      <alignment horizontal="center" vertical="center"/>
      <protection locked="0"/>
    </xf>
    <xf numFmtId="49" fontId="31" fillId="0" borderId="22" xfId="0" applyNumberFormat="1" applyFont="1" applyBorder="1" applyAlignment="1" applyProtection="1">
      <alignment horizontal="left" vertical="center" wrapText="1"/>
      <protection locked="0"/>
    </xf>
    <xf numFmtId="0" fontId="31" fillId="0" borderId="22" xfId="0" applyFont="1" applyBorder="1" applyAlignment="1" applyProtection="1">
      <alignment horizontal="left" vertical="center" wrapText="1"/>
      <protection locked="0"/>
    </xf>
    <xf numFmtId="0" fontId="31" fillId="0" borderId="22" xfId="0" applyFont="1" applyBorder="1" applyAlignment="1" applyProtection="1">
      <alignment horizontal="center" vertical="center" wrapText="1"/>
      <protection locked="0"/>
    </xf>
    <xf numFmtId="167" fontId="31" fillId="0" borderId="22" xfId="0" applyNumberFormat="1" applyFont="1" applyBorder="1" applyAlignment="1" applyProtection="1">
      <alignment vertical="center"/>
      <protection locked="0"/>
    </xf>
    <xf numFmtId="4" fontId="31" fillId="0" borderId="22" xfId="0" applyNumberFormat="1" applyFont="1" applyBorder="1" applyAlignment="1" applyProtection="1">
      <alignment vertical="center"/>
      <protection locked="0"/>
    </xf>
    <xf numFmtId="0" fontId="32" fillId="0" borderId="3" xfId="0" applyFont="1" applyBorder="1" applyAlignment="1">
      <alignment vertical="center"/>
    </xf>
    <xf numFmtId="0" fontId="31" fillId="0" borderId="14" xfId="0" applyFont="1" applyBorder="1" applyAlignment="1">
      <alignment horizontal="left" vertical="center"/>
    </xf>
    <xf numFmtId="0" fontId="31" fillId="0" borderId="0" xfId="0" applyFont="1" applyAlignment="1">
      <alignment horizontal="center" vertical="center"/>
    </xf>
    <xf numFmtId="0" fontId="9" fillId="0" borderId="3" xfId="0" applyFont="1" applyBorder="1" applyAlignment="1">
      <alignment vertical="center"/>
    </xf>
    <xf numFmtId="0" fontId="33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20" fillId="0" borderId="19" xfId="0" applyFont="1" applyBorder="1" applyAlignment="1">
      <alignment horizontal="left" vertical="center"/>
    </xf>
    <xf numFmtId="0" fontId="20" fillId="0" borderId="20" xfId="0" applyFont="1" applyBorder="1" applyAlignment="1">
      <alignment horizontal="center" vertical="center"/>
    </xf>
    <xf numFmtId="166" fontId="20" fillId="0" borderId="20" xfId="0" applyNumberFormat="1" applyFont="1" applyBorder="1" applyAlignment="1">
      <alignment vertical="center"/>
    </xf>
    <xf numFmtId="166" fontId="20" fillId="0" borderId="21" xfId="0" applyNumberFormat="1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14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14" fontId="2" fillId="0" borderId="0" xfId="0" applyNumberFormat="1" applyFont="1" applyAlignment="1">
      <alignment horizontal="left" vertical="center"/>
    </xf>
    <xf numFmtId="0" fontId="19" fillId="0" borderId="22" xfId="0" applyFont="1" applyBorder="1" applyAlignment="1" applyProtection="1">
      <alignment horizontal="left" vertical="top" wrapText="1"/>
      <protection locked="0"/>
    </xf>
    <xf numFmtId="0" fontId="35" fillId="0" borderId="0" xfId="0" applyFont="1" applyAlignment="1">
      <alignment vertical="center"/>
    </xf>
    <xf numFmtId="0" fontId="35" fillId="0" borderId="0" xfId="0" applyFont="1" applyAlignment="1">
      <alignment horizontal="left" vertical="center"/>
    </xf>
    <xf numFmtId="0" fontId="35" fillId="0" borderId="15" xfId="0" applyFont="1" applyBorder="1" applyAlignment="1">
      <alignment vertical="center"/>
    </xf>
    <xf numFmtId="0" fontId="35" fillId="0" borderId="14" xfId="0" applyFont="1" applyBorder="1" applyAlignment="1">
      <alignment vertical="center"/>
    </xf>
    <xf numFmtId="0" fontId="35" fillId="0" borderId="3" xfId="0" applyFont="1" applyBorder="1" applyAlignment="1">
      <alignment vertical="center"/>
    </xf>
    <xf numFmtId="0" fontId="35" fillId="0" borderId="0" xfId="0" applyFont="1" applyAlignment="1">
      <alignment horizontal="left" vertical="center" wrapText="1"/>
    </xf>
    <xf numFmtId="0" fontId="36" fillId="0" borderId="0" xfId="2"/>
    <xf numFmtId="0" fontId="36" fillId="0" borderId="23" xfId="2" applyBorder="1"/>
    <xf numFmtId="0" fontId="37" fillId="0" borderId="23" xfId="2" applyFont="1" applyBorder="1"/>
    <xf numFmtId="0" fontId="38" fillId="0" borderId="0" xfId="2" applyFont="1"/>
    <xf numFmtId="0" fontId="39" fillId="0" borderId="0" xfId="2" applyFont="1"/>
    <xf numFmtId="0" fontId="40" fillId="0" borderId="0" xfId="2" applyFont="1" applyAlignment="1">
      <alignment horizontal="center" vertical="center"/>
    </xf>
    <xf numFmtId="170" fontId="41" fillId="0" borderId="0" xfId="2" applyNumberFormat="1" applyFont="1" applyAlignment="1">
      <alignment horizontal="right" vertical="center"/>
    </xf>
    <xf numFmtId="0" fontId="41" fillId="0" borderId="0" xfId="2" applyFont="1"/>
    <xf numFmtId="171" fontId="42" fillId="0" borderId="0" xfId="2" applyNumberFormat="1" applyFont="1" applyAlignment="1">
      <alignment horizontal="right" vertical="center"/>
    </xf>
    <xf numFmtId="172" fontId="42" fillId="0" borderId="0" xfId="2" applyNumberFormat="1" applyFont="1" applyAlignment="1">
      <alignment horizontal="right" vertical="center"/>
    </xf>
    <xf numFmtId="173" fontId="36" fillId="0" borderId="0" xfId="2" applyNumberFormat="1"/>
    <xf numFmtId="0" fontId="37" fillId="0" borderId="0" xfId="2" applyFont="1"/>
    <xf numFmtId="0" fontId="42" fillId="0" borderId="0" xfId="2" applyFont="1"/>
    <xf numFmtId="0" fontId="43" fillId="0" borderId="0" xfId="2" applyFont="1"/>
    <xf numFmtId="44" fontId="40" fillId="0" borderId="24" xfId="2" applyNumberFormat="1" applyFont="1" applyBorder="1" applyAlignment="1">
      <alignment vertical="center"/>
    </xf>
    <xf numFmtId="0" fontId="37" fillId="0" borderId="26" xfId="2" applyFont="1" applyBorder="1" applyAlignment="1">
      <alignment vertical="center"/>
    </xf>
    <xf numFmtId="0" fontId="40" fillId="0" borderId="25" xfId="2" applyFont="1" applyBorder="1" applyAlignment="1">
      <alignment vertical="center"/>
    </xf>
    <xf numFmtId="0" fontId="40" fillId="0" borderId="25" xfId="2" applyFont="1" applyBorder="1" applyAlignment="1">
      <alignment horizontal="center" vertical="center"/>
    </xf>
    <xf numFmtId="0" fontId="37" fillId="0" borderId="27" xfId="2" applyFont="1" applyBorder="1" applyAlignment="1">
      <alignment vertical="center"/>
    </xf>
    <xf numFmtId="0" fontId="37" fillId="0" borderId="0" xfId="2" applyFont="1" applyAlignment="1">
      <alignment vertical="center"/>
    </xf>
    <xf numFmtId="174" fontId="37" fillId="0" borderId="27" xfId="2" applyNumberFormat="1" applyFont="1" applyBorder="1" applyAlignment="1">
      <alignment vertical="center"/>
    </xf>
    <xf numFmtId="1" fontId="37" fillId="0" borderId="0" xfId="2" applyNumberFormat="1" applyFont="1" applyAlignment="1">
      <alignment vertical="center"/>
    </xf>
    <xf numFmtId="0" fontId="37" fillId="0" borderId="28" xfId="2" applyFont="1" applyBorder="1" applyAlignment="1">
      <alignment vertical="center"/>
    </xf>
    <xf numFmtId="0" fontId="37" fillId="0" borderId="28" xfId="2" applyFont="1" applyBorder="1" applyAlignment="1">
      <alignment horizontal="center" vertical="center"/>
    </xf>
    <xf numFmtId="0" fontId="37" fillId="0" borderId="29" xfId="2" applyFont="1" applyBorder="1" applyAlignment="1">
      <alignment vertical="center"/>
    </xf>
    <xf numFmtId="0" fontId="37" fillId="0" borderId="30" xfId="2" applyFont="1" applyBorder="1" applyAlignment="1">
      <alignment vertical="center"/>
    </xf>
    <xf numFmtId="44" fontId="37" fillId="0" borderId="29" xfId="2" applyNumberFormat="1" applyFont="1" applyBorder="1" applyAlignment="1">
      <alignment vertical="center"/>
    </xf>
    <xf numFmtId="0" fontId="37" fillId="0" borderId="31" xfId="2" applyFont="1" applyBorder="1" applyAlignment="1">
      <alignment vertical="center"/>
    </xf>
    <xf numFmtId="0" fontId="37" fillId="0" borderId="30" xfId="2" applyFont="1" applyBorder="1" applyAlignment="1">
      <alignment horizontal="center" vertical="center"/>
    </xf>
    <xf numFmtId="170" fontId="37" fillId="0" borderId="32" xfId="2" applyNumberFormat="1" applyFont="1" applyBorder="1" applyAlignment="1">
      <alignment horizontal="right" vertical="center"/>
    </xf>
    <xf numFmtId="0" fontId="37" fillId="0" borderId="34" xfId="2" applyFont="1" applyBorder="1" applyAlignment="1">
      <alignment horizontal="justify" vertical="center"/>
    </xf>
    <xf numFmtId="0" fontId="37" fillId="0" borderId="33" xfId="2" applyFont="1" applyBorder="1" applyAlignment="1">
      <alignment horizontal="justify" vertical="center"/>
    </xf>
    <xf numFmtId="0" fontId="37" fillId="0" borderId="35" xfId="2" applyFont="1" applyBorder="1" applyAlignment="1">
      <alignment horizontal="center" vertical="center"/>
    </xf>
    <xf numFmtId="0" fontId="40" fillId="0" borderId="36" xfId="2" applyFont="1" applyBorder="1" applyAlignment="1">
      <alignment horizontal="center" vertical="center"/>
    </xf>
    <xf numFmtId="0" fontId="40" fillId="0" borderId="37" xfId="2" applyFont="1" applyBorder="1" applyAlignment="1">
      <alignment horizontal="center" vertical="center"/>
    </xf>
    <xf numFmtId="0" fontId="40" fillId="0" borderId="38" xfId="2" applyFont="1" applyBorder="1" applyAlignment="1">
      <alignment horizontal="center" vertical="center"/>
    </xf>
    <xf numFmtId="0" fontId="40" fillId="0" borderId="39" xfId="2" applyFont="1" applyBorder="1" applyAlignment="1">
      <alignment horizontal="center" vertical="center"/>
    </xf>
    <xf numFmtId="0" fontId="44" fillId="0" borderId="0" xfId="2" applyFont="1" applyAlignment="1">
      <alignment vertical="center"/>
    </xf>
    <xf numFmtId="0" fontId="43" fillId="0" borderId="0" xfId="2" applyFont="1" applyAlignment="1">
      <alignment vertical="center"/>
    </xf>
    <xf numFmtId="0" fontId="37" fillId="0" borderId="25" xfId="2" applyFont="1" applyBorder="1" applyAlignment="1">
      <alignment vertical="center"/>
    </xf>
    <xf numFmtId="44" fontId="37" fillId="0" borderId="27" xfId="2" applyNumberFormat="1" applyFont="1" applyBorder="1" applyAlignment="1">
      <alignment vertical="center"/>
    </xf>
    <xf numFmtId="175" fontId="37" fillId="0" borderId="40" xfId="2" applyNumberFormat="1" applyFont="1" applyBorder="1" applyAlignment="1">
      <alignment vertical="center"/>
    </xf>
    <xf numFmtId="174" fontId="37" fillId="0" borderId="0" xfId="2" applyNumberFormat="1" applyFont="1" applyAlignment="1">
      <alignment vertical="center"/>
    </xf>
    <xf numFmtId="174" fontId="37" fillId="0" borderId="28" xfId="2" applyNumberFormat="1" applyFont="1" applyBorder="1" applyAlignment="1">
      <alignment vertical="center"/>
    </xf>
    <xf numFmtId="174" fontId="37" fillId="0" borderId="41" xfId="2" applyNumberFormat="1" applyFont="1" applyBorder="1" applyAlignment="1">
      <alignment vertical="center"/>
    </xf>
    <xf numFmtId="174" fontId="37" fillId="0" borderId="42" xfId="2" applyNumberFormat="1" applyFont="1" applyBorder="1" applyAlignment="1">
      <alignment vertical="center"/>
    </xf>
    <xf numFmtId="49" fontId="37" fillId="0" borderId="43" xfId="2" applyNumberFormat="1" applyFont="1" applyBorder="1" applyAlignment="1">
      <alignment horizontal="center" vertical="center"/>
    </xf>
    <xf numFmtId="49" fontId="37" fillId="0" borderId="44" xfId="2" applyNumberFormat="1" applyFont="1" applyBorder="1" applyAlignment="1">
      <alignment vertical="center"/>
    </xf>
    <xf numFmtId="175" fontId="37" fillId="0" borderId="41" xfId="2" applyNumberFormat="1" applyFont="1" applyBorder="1" applyAlignment="1">
      <alignment vertical="center"/>
    </xf>
    <xf numFmtId="49" fontId="37" fillId="0" borderId="42" xfId="2" applyNumberFormat="1" applyFont="1" applyBorder="1" applyAlignment="1">
      <alignment horizontal="center" vertical="center"/>
    </xf>
    <xf numFmtId="49" fontId="37" fillId="0" borderId="35" xfId="2" applyNumberFormat="1" applyFont="1" applyBorder="1" applyAlignment="1">
      <alignment vertical="center"/>
    </xf>
    <xf numFmtId="49" fontId="37" fillId="0" borderId="44" xfId="2" applyNumberFormat="1" applyFont="1" applyBorder="1" applyAlignment="1">
      <alignment horizontal="justify" vertical="center"/>
    </xf>
    <xf numFmtId="0" fontId="37" fillId="0" borderId="0" xfId="2" applyFont="1" applyAlignment="1">
      <alignment horizontal="center"/>
    </xf>
    <xf numFmtId="0" fontId="40" fillId="0" borderId="39" xfId="2" applyFont="1" applyBorder="1" applyAlignment="1">
      <alignment vertical="center"/>
    </xf>
    <xf numFmtId="0" fontId="43" fillId="5" borderId="0" xfId="2" applyFont="1" applyFill="1" applyAlignment="1">
      <alignment vertical="center"/>
    </xf>
    <xf numFmtId="44" fontId="40" fillId="0" borderId="0" xfId="2" applyNumberFormat="1" applyFont="1" applyAlignment="1">
      <alignment vertical="center"/>
    </xf>
    <xf numFmtId="0" fontId="40" fillId="0" borderId="0" xfId="2" applyFont="1" applyAlignment="1">
      <alignment vertical="center"/>
    </xf>
    <xf numFmtId="49" fontId="37" fillId="0" borderId="35" xfId="2" applyNumberFormat="1" applyFont="1" applyBorder="1" applyAlignment="1">
      <alignment horizontal="justify" vertical="center"/>
    </xf>
    <xf numFmtId="49" fontId="37" fillId="0" borderId="35" xfId="2" applyNumberFormat="1" applyFont="1" applyBorder="1" applyAlignment="1">
      <alignment vertical="center" wrapText="1"/>
    </xf>
    <xf numFmtId="0" fontId="37" fillId="0" borderId="35" xfId="2" applyFont="1" applyBorder="1" applyAlignment="1">
      <alignment vertical="center" wrapText="1"/>
    </xf>
    <xf numFmtId="0" fontId="43" fillId="6" borderId="0" xfId="2" applyFont="1" applyFill="1" applyAlignment="1">
      <alignment vertical="center"/>
    </xf>
    <xf numFmtId="49" fontId="37" fillId="0" borderId="45" xfId="2" applyNumberFormat="1" applyFont="1" applyBorder="1" applyAlignment="1">
      <alignment horizontal="center" vertical="center"/>
    </xf>
    <xf numFmtId="49" fontId="37" fillId="0" borderId="46" xfId="2" applyNumberFormat="1" applyFont="1" applyBorder="1" applyAlignment="1">
      <alignment vertical="center"/>
    </xf>
    <xf numFmtId="49" fontId="37" fillId="0" borderId="47" xfId="2" applyNumberFormat="1" applyFont="1" applyBorder="1" applyAlignment="1">
      <alignment horizontal="center" vertical="center"/>
    </xf>
    <xf numFmtId="49" fontId="37" fillId="0" borderId="48" xfId="2" applyNumberFormat="1" applyFont="1" applyBorder="1" applyAlignment="1">
      <alignment vertical="center"/>
    </xf>
    <xf numFmtId="49" fontId="37" fillId="0" borderId="49" xfId="2" applyNumberFormat="1" applyFont="1" applyBorder="1" applyAlignment="1">
      <alignment horizontal="center" vertical="center"/>
    </xf>
    <xf numFmtId="0" fontId="37" fillId="0" borderId="35" xfId="2" applyFont="1" applyBorder="1" applyAlignment="1">
      <alignment horizontal="justify" vertical="center" wrapText="1"/>
    </xf>
    <xf numFmtId="2" fontId="37" fillId="0" borderId="35" xfId="2" applyNumberFormat="1" applyFont="1" applyBorder="1" applyAlignment="1">
      <alignment vertical="center" wrapText="1"/>
    </xf>
    <xf numFmtId="49" fontId="37" fillId="0" borderId="44" xfId="2" applyNumberFormat="1" applyFont="1" applyBorder="1" applyAlignment="1">
      <alignment horizontal="justify" vertical="top" wrapText="1"/>
    </xf>
    <xf numFmtId="49" fontId="37" fillId="0" borderId="35" xfId="2" applyNumberFormat="1" applyFont="1" applyBorder="1" applyAlignment="1">
      <alignment vertical="top" wrapText="1"/>
    </xf>
    <xf numFmtId="49" fontId="37" fillId="0" borderId="44" xfId="2" applyNumberFormat="1" applyFont="1" applyBorder="1" applyAlignment="1">
      <alignment vertical="top" wrapText="1"/>
    </xf>
    <xf numFmtId="174" fontId="37" fillId="0" borderId="40" xfId="2" applyNumberFormat="1" applyFont="1" applyBorder="1" applyAlignment="1">
      <alignment vertical="center"/>
    </xf>
    <xf numFmtId="49" fontId="37" fillId="0" borderId="44" xfId="2" applyNumberFormat="1" applyFont="1" applyBorder="1" applyAlignment="1">
      <alignment vertical="center" wrapText="1"/>
    </xf>
    <xf numFmtId="175" fontId="37" fillId="0" borderId="50" xfId="2" applyNumberFormat="1" applyFont="1" applyBorder="1" applyAlignment="1">
      <alignment vertical="center"/>
    </xf>
    <xf numFmtId="174" fontId="37" fillId="0" borderId="50" xfId="2" applyNumberFormat="1" applyFont="1" applyBorder="1" applyAlignment="1">
      <alignment vertical="center"/>
    </xf>
    <xf numFmtId="175" fontId="37" fillId="0" borderId="51" xfId="2" applyNumberFormat="1" applyFont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14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5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25" fillId="0" borderId="0" xfId="0" applyFont="1" applyAlignment="1">
      <alignment vertical="center"/>
    </xf>
    <xf numFmtId="0" fontId="24" fillId="0" borderId="0" xfId="0" applyFont="1" applyAlignment="1">
      <alignment horizontal="left" vertical="center" wrapText="1"/>
    </xf>
    <xf numFmtId="0" fontId="19" fillId="4" borderId="6" xfId="0" applyFont="1" applyFill="1" applyBorder="1" applyAlignment="1">
      <alignment horizontal="center" vertical="center"/>
    </xf>
    <xf numFmtId="0" fontId="19" fillId="4" borderId="7" xfId="0" applyFont="1" applyFill="1" applyBorder="1" applyAlignment="1">
      <alignment horizontal="left" vertical="center"/>
    </xf>
    <xf numFmtId="0" fontId="19" fillId="4" borderId="7" xfId="0" applyFont="1" applyFill="1" applyBorder="1" applyAlignment="1">
      <alignment horizontal="center" vertical="center"/>
    </xf>
    <xf numFmtId="0" fontId="19" fillId="4" borderId="7" xfId="0" applyFont="1" applyFill="1" applyBorder="1" applyAlignment="1">
      <alignment horizontal="right" vertical="center"/>
    </xf>
    <xf numFmtId="0" fontId="19" fillId="4" borderId="8" xfId="0" applyFont="1" applyFill="1" applyBorder="1" applyAlignment="1">
      <alignment horizontal="left" vertical="center"/>
    </xf>
    <xf numFmtId="4" fontId="21" fillId="0" borderId="0" xfId="0" applyNumberFormat="1" applyFont="1" applyAlignment="1">
      <alignment horizontal="right" vertical="center"/>
    </xf>
    <xf numFmtId="4" fontId="21" fillId="0" borderId="0" xfId="0" applyNumberFormat="1" applyFont="1" applyAlignment="1">
      <alignment vertical="center"/>
    </xf>
    <xf numFmtId="0" fontId="12" fillId="2" borderId="0" xfId="0" applyFont="1" applyFill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4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169" fontId="41" fillId="0" borderId="0" xfId="2" applyNumberFormat="1" applyFont="1"/>
    <xf numFmtId="168" fontId="41" fillId="0" borderId="0" xfId="2" applyNumberFormat="1" applyFont="1" applyAlignment="1">
      <alignment horizontal="right"/>
    </xf>
    <xf numFmtId="168" fontId="41" fillId="0" borderId="0" xfId="2" applyNumberFormat="1" applyFont="1"/>
    <xf numFmtId="44" fontId="37" fillId="0" borderId="33" xfId="2" applyNumberFormat="1" applyFont="1" applyBorder="1" applyAlignment="1">
      <alignment vertical="center"/>
    </xf>
    <xf numFmtId="44" fontId="37" fillId="0" borderId="32" xfId="2" applyNumberFormat="1" applyFont="1" applyBorder="1" applyAlignment="1">
      <alignment vertical="center"/>
    </xf>
    <xf numFmtId="44" fontId="39" fillId="0" borderId="0" xfId="2" applyNumberFormat="1" applyFont="1"/>
    <xf numFmtId="44" fontId="43" fillId="0" borderId="0" xfId="2" applyNumberFormat="1" applyFont="1"/>
    <xf numFmtId="44" fontId="40" fillId="0" borderId="26" xfId="2" applyNumberFormat="1" applyFont="1" applyBorder="1" applyAlignment="1">
      <alignment vertical="center"/>
    </xf>
    <xf numFmtId="44" fontId="40" fillId="0" borderId="24" xfId="2" applyNumberFormat="1" applyFont="1" applyBorder="1" applyAlignment="1">
      <alignment vertical="center"/>
    </xf>
    <xf numFmtId="44" fontId="40" fillId="0" borderId="25" xfId="2" applyNumberFormat="1" applyFont="1" applyBorder="1" applyAlignment="1">
      <alignment vertical="center"/>
    </xf>
    <xf numFmtId="0" fontId="40" fillId="0" borderId="38" xfId="2" applyFont="1" applyBorder="1" applyAlignment="1">
      <alignment vertical="center"/>
    </xf>
    <xf numFmtId="0" fontId="36" fillId="0" borderId="37" xfId="2" applyBorder="1" applyAlignment="1">
      <alignment vertical="center"/>
    </xf>
    <xf numFmtId="0" fontId="36" fillId="0" borderId="36" xfId="2" applyBorder="1" applyAlignment="1">
      <alignment vertical="center"/>
    </xf>
    <xf numFmtId="0" fontId="43" fillId="0" borderId="26" xfId="2" applyFont="1" applyBorder="1" applyAlignment="1">
      <alignment horizontal="center" vertical="center"/>
    </xf>
    <xf numFmtId="175" fontId="37" fillId="6" borderId="41" xfId="2" applyNumberFormat="1" applyFont="1" applyFill="1" applyBorder="1" applyAlignment="1">
      <alignment vertical="center"/>
    </xf>
    <xf numFmtId="175" fontId="37" fillId="6" borderId="40" xfId="2" applyNumberFormat="1" applyFont="1" applyFill="1" applyBorder="1" applyAlignment="1">
      <alignment vertical="center"/>
    </xf>
    <xf numFmtId="49" fontId="37" fillId="6" borderId="42" xfId="2" applyNumberFormat="1" applyFont="1" applyFill="1" applyBorder="1" applyAlignment="1">
      <alignment horizontal="center" vertical="center"/>
    </xf>
    <xf numFmtId="49" fontId="37" fillId="6" borderId="35" xfId="2" applyNumberFormat="1" applyFont="1" applyFill="1" applyBorder="1" applyAlignment="1">
      <alignment vertical="center" wrapText="1"/>
    </xf>
    <xf numFmtId="49" fontId="37" fillId="6" borderId="43" xfId="2" applyNumberFormat="1" applyFont="1" applyFill="1" applyBorder="1" applyAlignment="1">
      <alignment horizontal="center" vertical="center"/>
    </xf>
    <xf numFmtId="49" fontId="37" fillId="6" borderId="44" xfId="2" applyNumberFormat="1" applyFont="1" applyFill="1" applyBorder="1" applyAlignment="1">
      <alignment horizontal="justify" vertical="center"/>
    </xf>
  </cellXfs>
  <cellStyles count="3">
    <cellStyle name="Hypertextový odkaz" xfId="1" builtinId="8"/>
    <cellStyle name="Normální" xfId="0" builtinId="0" customBuiltin="1"/>
    <cellStyle name="Normální 2" xfId="2" xr:uid="{5FD6D5AF-EAB7-49B9-8197-5198B3A783FE}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onnections" Target="connection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2.xml.rels><?xml version="1.0" encoding="UTF-8" standalone="yes"?>
<Relationships xmlns="http://schemas.openxmlformats.org/package/2006/relationships"><Relationship Id="rId8" Type="http://schemas.openxmlformats.org/officeDocument/2006/relationships/image" Target="../media/image9.jpeg"/><Relationship Id="rId3" Type="http://schemas.openxmlformats.org/officeDocument/2006/relationships/image" Target="../media/image4.jpeg"/><Relationship Id="rId7" Type="http://schemas.openxmlformats.org/officeDocument/2006/relationships/image" Target="../media/image8.jpeg"/><Relationship Id="rId2" Type="http://schemas.openxmlformats.org/officeDocument/2006/relationships/image" Target="../media/image3.jpeg"/><Relationship Id="rId1" Type="http://schemas.openxmlformats.org/officeDocument/2006/relationships/image" Target="../media/image2.jpeg"/><Relationship Id="rId6" Type="http://schemas.openxmlformats.org/officeDocument/2006/relationships/image" Target="../media/image7.jpeg"/><Relationship Id="rId11" Type="http://schemas.openxmlformats.org/officeDocument/2006/relationships/image" Target="../media/image12.jpeg"/><Relationship Id="rId5" Type="http://schemas.openxmlformats.org/officeDocument/2006/relationships/image" Target="../media/image6.jpeg"/><Relationship Id="rId10" Type="http://schemas.openxmlformats.org/officeDocument/2006/relationships/image" Target="../media/image11.png"/><Relationship Id="rId4" Type="http://schemas.openxmlformats.org/officeDocument/2006/relationships/image" Target="../media/image5.jpeg"/><Relationship Id="rId9" Type="http://schemas.openxmlformats.org/officeDocument/2006/relationships/image" Target="../media/image10.jpeg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8" Type="http://schemas.openxmlformats.org/officeDocument/2006/relationships/image" Target="../media/image9.jpeg"/><Relationship Id="rId3" Type="http://schemas.openxmlformats.org/officeDocument/2006/relationships/image" Target="../media/image4.jpeg"/><Relationship Id="rId7" Type="http://schemas.openxmlformats.org/officeDocument/2006/relationships/image" Target="../media/image8.jpeg"/><Relationship Id="rId2" Type="http://schemas.openxmlformats.org/officeDocument/2006/relationships/image" Target="../media/image3.jpeg"/><Relationship Id="rId1" Type="http://schemas.openxmlformats.org/officeDocument/2006/relationships/image" Target="../media/image2.jpeg"/><Relationship Id="rId6" Type="http://schemas.openxmlformats.org/officeDocument/2006/relationships/image" Target="../media/image7.jpeg"/><Relationship Id="rId11" Type="http://schemas.openxmlformats.org/officeDocument/2006/relationships/image" Target="../media/image12.jpeg"/><Relationship Id="rId5" Type="http://schemas.openxmlformats.org/officeDocument/2006/relationships/image" Target="../media/image6.jpeg"/><Relationship Id="rId10" Type="http://schemas.openxmlformats.org/officeDocument/2006/relationships/image" Target="../media/image11.png"/><Relationship Id="rId4" Type="http://schemas.openxmlformats.org/officeDocument/2006/relationships/image" Target="../media/image5.jpeg"/><Relationship Id="rId9" Type="http://schemas.openxmlformats.org/officeDocument/2006/relationships/image" Target="../media/image10.jpe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6CFC8501-6D4F-44AF-A54A-2A6FC77F121C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285750" cy="285750"/>
        </a:xfrm>
        <a:prstGeom prst="rect">
          <a:avLst/>
        </a:prstGeom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1F426E2D-DE5B-49F1-82F8-11F8D1863B74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285750" cy="285750"/>
        </a:xfrm>
        <a:prstGeom prst="rect">
          <a:avLst/>
        </a:prstGeom>
      </xdr:spPr>
    </xdr:pic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39632</xdr:colOff>
      <xdr:row>263</xdr:row>
      <xdr:rowOff>181204</xdr:rowOff>
    </xdr:from>
    <xdr:ext cx="1359777" cy="667723"/>
    <xdr:pic>
      <xdr:nvPicPr>
        <xdr:cNvPr id="2" name="Obrázek 1" descr="katalog2010_Stránka_110-obrázek.jpg">
          <a:extLst>
            <a:ext uri="{FF2B5EF4-FFF2-40B4-BE49-F238E27FC236}">
              <a16:creationId xmlns:a16="http://schemas.microsoft.com/office/drawing/2014/main" id="{67C1DE15-186B-458D-A8DB-61A939713FF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9232" y="42748429"/>
          <a:ext cx="1359777" cy="667723"/>
        </a:xfrm>
        <a:prstGeom prst="rect">
          <a:avLst/>
        </a:prstGeom>
      </xdr:spPr>
    </xdr:pic>
    <xdr:clientData/>
  </xdr:oneCellAnchor>
  <xdr:oneCellAnchor>
    <xdr:from>
      <xdr:col>1</xdr:col>
      <xdr:colOff>1407072</xdr:colOff>
      <xdr:row>263</xdr:row>
      <xdr:rowOff>105761</xdr:rowOff>
    </xdr:from>
    <xdr:ext cx="1546303" cy="738789"/>
    <xdr:pic>
      <xdr:nvPicPr>
        <xdr:cNvPr id="3" name="Obrázek 2" descr="katalog2010_Stránka_110-rozměry.jpg">
          <a:extLst>
            <a:ext uri="{FF2B5EF4-FFF2-40B4-BE49-F238E27FC236}">
              <a16:creationId xmlns:a16="http://schemas.microsoft.com/office/drawing/2014/main" id="{5C91608E-CFDC-4214-A1EF-AD8CDEF25EC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216572" y="42692036"/>
          <a:ext cx="1546303" cy="738789"/>
        </a:xfrm>
        <a:prstGeom prst="rect">
          <a:avLst/>
        </a:prstGeom>
      </xdr:spPr>
    </xdr:pic>
    <xdr:clientData/>
  </xdr:oneCellAnchor>
  <xdr:oneCellAnchor>
    <xdr:from>
      <xdr:col>1</xdr:col>
      <xdr:colOff>57150</xdr:colOff>
      <xdr:row>250</xdr:row>
      <xdr:rowOff>218227</xdr:rowOff>
    </xdr:from>
    <xdr:ext cx="1003300" cy="694176"/>
    <xdr:pic>
      <xdr:nvPicPr>
        <xdr:cNvPr id="4" name="Picture 1" descr="MODUS Q B">
          <a:extLst>
            <a:ext uri="{FF2B5EF4-FFF2-40B4-BE49-F238E27FC236}">
              <a16:creationId xmlns:a16="http://schemas.microsoft.com/office/drawing/2014/main" id="{F86BEC01-DD3C-466B-964E-979AE153869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 t="14789" b="16022"/>
        <a:stretch>
          <a:fillRect/>
        </a:stretch>
      </xdr:blipFill>
      <xdr:spPr bwMode="auto">
        <a:xfrm>
          <a:off x="666750" y="40642327"/>
          <a:ext cx="1003300" cy="694176"/>
        </a:xfrm>
        <a:prstGeom prst="rect">
          <a:avLst/>
        </a:prstGeom>
        <a:noFill/>
      </xdr:spPr>
    </xdr:pic>
    <xdr:clientData/>
  </xdr:oneCellAnchor>
  <xdr:oneCellAnchor>
    <xdr:from>
      <xdr:col>1</xdr:col>
      <xdr:colOff>57150</xdr:colOff>
      <xdr:row>247</xdr:row>
      <xdr:rowOff>218227</xdr:rowOff>
    </xdr:from>
    <xdr:ext cx="1003300" cy="694176"/>
    <xdr:pic>
      <xdr:nvPicPr>
        <xdr:cNvPr id="5" name="Picture 1" descr="MODUS Q B">
          <a:extLst>
            <a:ext uri="{FF2B5EF4-FFF2-40B4-BE49-F238E27FC236}">
              <a16:creationId xmlns:a16="http://schemas.microsoft.com/office/drawing/2014/main" id="{AFBF8302-A275-4201-8DBB-808787574B8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 t="14789" b="16022"/>
        <a:stretch>
          <a:fillRect/>
        </a:stretch>
      </xdr:blipFill>
      <xdr:spPr bwMode="auto">
        <a:xfrm>
          <a:off x="666750" y="40156552"/>
          <a:ext cx="1003300" cy="694176"/>
        </a:xfrm>
        <a:prstGeom prst="rect">
          <a:avLst/>
        </a:prstGeom>
        <a:noFill/>
      </xdr:spPr>
    </xdr:pic>
    <xdr:clientData/>
  </xdr:oneCellAnchor>
  <xdr:oneCellAnchor>
    <xdr:from>
      <xdr:col>1</xdr:col>
      <xdr:colOff>57150</xdr:colOff>
      <xdr:row>248</xdr:row>
      <xdr:rowOff>218227</xdr:rowOff>
    </xdr:from>
    <xdr:ext cx="1003300" cy="694176"/>
    <xdr:pic>
      <xdr:nvPicPr>
        <xdr:cNvPr id="6" name="Picture 1" descr="MODUS Q B">
          <a:extLst>
            <a:ext uri="{FF2B5EF4-FFF2-40B4-BE49-F238E27FC236}">
              <a16:creationId xmlns:a16="http://schemas.microsoft.com/office/drawing/2014/main" id="{003CEBC8-1872-4DFD-9DDD-235B2AD7B60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 t="14789" b="16022"/>
        <a:stretch>
          <a:fillRect/>
        </a:stretch>
      </xdr:blipFill>
      <xdr:spPr bwMode="auto">
        <a:xfrm>
          <a:off x="666750" y="40318477"/>
          <a:ext cx="1003300" cy="694176"/>
        </a:xfrm>
        <a:prstGeom prst="rect">
          <a:avLst/>
        </a:prstGeom>
        <a:noFill/>
      </xdr:spPr>
    </xdr:pic>
    <xdr:clientData/>
  </xdr:oneCellAnchor>
  <xdr:oneCellAnchor>
    <xdr:from>
      <xdr:col>1</xdr:col>
      <xdr:colOff>57150</xdr:colOff>
      <xdr:row>249</xdr:row>
      <xdr:rowOff>218227</xdr:rowOff>
    </xdr:from>
    <xdr:ext cx="1003300" cy="694176"/>
    <xdr:pic>
      <xdr:nvPicPr>
        <xdr:cNvPr id="7" name="Picture 1" descr="MODUS Q B">
          <a:extLst>
            <a:ext uri="{FF2B5EF4-FFF2-40B4-BE49-F238E27FC236}">
              <a16:creationId xmlns:a16="http://schemas.microsoft.com/office/drawing/2014/main" id="{7366842C-4362-4B43-86BD-FDA0ABB7E0C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 t="14789" b="16022"/>
        <a:stretch>
          <a:fillRect/>
        </a:stretch>
      </xdr:blipFill>
      <xdr:spPr bwMode="auto">
        <a:xfrm>
          <a:off x="666750" y="40480402"/>
          <a:ext cx="1003300" cy="694176"/>
        </a:xfrm>
        <a:prstGeom prst="rect">
          <a:avLst/>
        </a:prstGeom>
        <a:noFill/>
      </xdr:spPr>
    </xdr:pic>
    <xdr:clientData/>
  </xdr:oneCellAnchor>
  <xdr:oneCellAnchor>
    <xdr:from>
      <xdr:col>1</xdr:col>
      <xdr:colOff>44450</xdr:colOff>
      <xdr:row>251</xdr:row>
      <xdr:rowOff>214585</xdr:rowOff>
    </xdr:from>
    <xdr:ext cx="833475" cy="579165"/>
    <xdr:pic>
      <xdr:nvPicPr>
        <xdr:cNvPr id="8" name="Picture 4" descr="http://www.modus.cz/data/lighting/group/6387.jpg">
          <a:extLst>
            <a:ext uri="{FF2B5EF4-FFF2-40B4-BE49-F238E27FC236}">
              <a16:creationId xmlns:a16="http://schemas.microsoft.com/office/drawing/2014/main" id="{C5653312-18D2-4270-B574-C09E0468B45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 t="12795" b="17717"/>
        <a:stretch>
          <a:fillRect/>
        </a:stretch>
      </xdr:blipFill>
      <xdr:spPr bwMode="auto">
        <a:xfrm>
          <a:off x="654050" y="40800610"/>
          <a:ext cx="833475" cy="579165"/>
        </a:xfrm>
        <a:prstGeom prst="rect">
          <a:avLst/>
        </a:prstGeom>
        <a:noFill/>
      </xdr:spPr>
    </xdr:pic>
    <xdr:clientData/>
  </xdr:oneCellAnchor>
  <xdr:oneCellAnchor>
    <xdr:from>
      <xdr:col>1</xdr:col>
      <xdr:colOff>63500</xdr:colOff>
      <xdr:row>252</xdr:row>
      <xdr:rowOff>228600</xdr:rowOff>
    </xdr:from>
    <xdr:ext cx="1587500" cy="695449"/>
    <xdr:pic>
      <xdr:nvPicPr>
        <xdr:cNvPr id="9" name="Obrázek 8" descr="Aura 4 931acz - orez.jpg">
          <a:extLst>
            <a:ext uri="{FF2B5EF4-FFF2-40B4-BE49-F238E27FC236}">
              <a16:creationId xmlns:a16="http://schemas.microsoft.com/office/drawing/2014/main" id="{A5905DEE-5E05-4400-948F-AE94316D70A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73100" y="40967025"/>
          <a:ext cx="1587500" cy="695449"/>
        </a:xfrm>
        <a:prstGeom prst="rect">
          <a:avLst/>
        </a:prstGeom>
      </xdr:spPr>
    </xdr:pic>
    <xdr:clientData/>
  </xdr:oneCellAnchor>
  <xdr:oneCellAnchor>
    <xdr:from>
      <xdr:col>1</xdr:col>
      <xdr:colOff>44204</xdr:colOff>
      <xdr:row>253</xdr:row>
      <xdr:rowOff>203200</xdr:rowOff>
    </xdr:from>
    <xdr:ext cx="861605" cy="825248"/>
    <xdr:pic>
      <xdr:nvPicPr>
        <xdr:cNvPr id="10" name="Picture 1" descr="FLORA 2 LED-1L27C03DU12/125 3000* 9W IP4">
          <a:extLst>
            <a:ext uri="{FF2B5EF4-FFF2-40B4-BE49-F238E27FC236}">
              <a16:creationId xmlns:a16="http://schemas.microsoft.com/office/drawing/2014/main" id="{B4A4C47E-8297-4ABD-80EA-3A94486E6FB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 l="20863" t="15767" r="17348" b="25068"/>
        <a:stretch>
          <a:fillRect/>
        </a:stretch>
      </xdr:blipFill>
      <xdr:spPr bwMode="auto">
        <a:xfrm>
          <a:off x="653804" y="41132125"/>
          <a:ext cx="861605" cy="825248"/>
        </a:xfrm>
        <a:prstGeom prst="rect">
          <a:avLst/>
        </a:prstGeom>
        <a:noFill/>
      </xdr:spPr>
    </xdr:pic>
    <xdr:clientData/>
  </xdr:oneCellAnchor>
  <xdr:oneCellAnchor>
    <xdr:from>
      <xdr:col>1</xdr:col>
      <xdr:colOff>80982</xdr:colOff>
      <xdr:row>255</xdr:row>
      <xdr:rowOff>256197</xdr:rowOff>
    </xdr:from>
    <xdr:ext cx="1381089" cy="360767"/>
    <xdr:pic>
      <xdr:nvPicPr>
        <xdr:cNvPr id="11" name="Picture 2" descr="https://www.ledsviti.cz/user/shop/big/175355-3_led-venkovni-svitidlo-salix-s-60-6w-denni-bila.jpg?619f57ad">
          <a:extLst>
            <a:ext uri="{FF2B5EF4-FFF2-40B4-BE49-F238E27FC236}">
              <a16:creationId xmlns:a16="http://schemas.microsoft.com/office/drawing/2014/main" id="{09391909-AB69-4FFE-A74E-F29EB0049E4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/>
        <a:srcRect l="36909" r="36909"/>
        <a:stretch>
          <a:fillRect/>
        </a:stretch>
      </xdr:blipFill>
      <xdr:spPr bwMode="auto">
        <a:xfrm rot="5400000">
          <a:off x="1200743" y="40941661"/>
          <a:ext cx="360767" cy="1381089"/>
        </a:xfrm>
        <a:prstGeom prst="rect">
          <a:avLst/>
        </a:prstGeom>
        <a:noFill/>
      </xdr:spPr>
    </xdr:pic>
    <xdr:clientData/>
  </xdr:oneCellAnchor>
  <xdr:oneCellAnchor>
    <xdr:from>
      <xdr:col>1</xdr:col>
      <xdr:colOff>139700</xdr:colOff>
      <xdr:row>256</xdr:row>
      <xdr:rowOff>278473</xdr:rowOff>
    </xdr:from>
    <xdr:ext cx="555335" cy="562769"/>
    <xdr:pic>
      <xdr:nvPicPr>
        <xdr:cNvPr id="12" name="Picture 3" descr="Lutec 5189114118 LED venkovní nástěnná lampa Gemini 1x9W | 850lm | 4000K | IP54 - svítí nahoru/dolů">
          <a:extLst>
            <a:ext uri="{FF2B5EF4-FFF2-40B4-BE49-F238E27FC236}">
              <a16:creationId xmlns:a16="http://schemas.microsoft.com/office/drawing/2014/main" id="{D0118F1A-9665-4EF1-9F80-09E25E2E1C3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 cstate="print"/>
        <a:srcRect l="18246" t="24111" r="22807" b="16291"/>
        <a:stretch>
          <a:fillRect/>
        </a:stretch>
      </xdr:blipFill>
      <xdr:spPr bwMode="auto">
        <a:xfrm>
          <a:off x="749300" y="41616973"/>
          <a:ext cx="555335" cy="562769"/>
        </a:xfrm>
        <a:prstGeom prst="rect">
          <a:avLst/>
        </a:prstGeom>
        <a:noFill/>
      </xdr:spPr>
    </xdr:pic>
    <xdr:clientData/>
  </xdr:oneCellAnchor>
  <xdr:oneCellAnchor>
    <xdr:from>
      <xdr:col>1</xdr:col>
      <xdr:colOff>63500</xdr:colOff>
      <xdr:row>258</xdr:row>
      <xdr:rowOff>230843</xdr:rowOff>
    </xdr:from>
    <xdr:ext cx="813884" cy="620058"/>
    <xdr:pic>
      <xdr:nvPicPr>
        <xdr:cNvPr id="13" name="Picture 1" descr="MODUS SPMN">
          <a:extLst>
            <a:ext uri="{FF2B5EF4-FFF2-40B4-BE49-F238E27FC236}">
              <a16:creationId xmlns:a16="http://schemas.microsoft.com/office/drawing/2014/main" id="{C0DDB1EB-959A-477E-B36C-3EC907EC5B0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 cstate="print"/>
        <a:srcRect t="14789" b="9243"/>
        <a:stretch>
          <a:fillRect/>
        </a:stretch>
      </xdr:blipFill>
      <xdr:spPr bwMode="auto">
        <a:xfrm>
          <a:off x="673100" y="41940818"/>
          <a:ext cx="813884" cy="620058"/>
        </a:xfrm>
        <a:prstGeom prst="rect">
          <a:avLst/>
        </a:prstGeom>
        <a:noFill/>
      </xdr:spPr>
    </xdr:pic>
    <xdr:clientData/>
  </xdr:oneCellAnchor>
  <xdr:oneCellAnchor>
    <xdr:from>
      <xdr:col>1</xdr:col>
      <xdr:colOff>63500</xdr:colOff>
      <xdr:row>257</xdr:row>
      <xdr:rowOff>230843</xdr:rowOff>
    </xdr:from>
    <xdr:ext cx="813884" cy="620058"/>
    <xdr:pic>
      <xdr:nvPicPr>
        <xdr:cNvPr id="14" name="Picture 1" descr="MODUS SPMN">
          <a:extLst>
            <a:ext uri="{FF2B5EF4-FFF2-40B4-BE49-F238E27FC236}">
              <a16:creationId xmlns:a16="http://schemas.microsoft.com/office/drawing/2014/main" id="{DAB37547-2187-45D7-BFDE-004FCB19B0E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 cstate="print"/>
        <a:srcRect t="14789" b="9243"/>
        <a:stretch>
          <a:fillRect/>
        </a:stretch>
      </xdr:blipFill>
      <xdr:spPr bwMode="auto">
        <a:xfrm>
          <a:off x="673100" y="41778893"/>
          <a:ext cx="813884" cy="620058"/>
        </a:xfrm>
        <a:prstGeom prst="rect">
          <a:avLst/>
        </a:prstGeom>
        <a:noFill/>
      </xdr:spPr>
    </xdr:pic>
    <xdr:clientData/>
  </xdr:oneCellAnchor>
  <xdr:oneCellAnchor>
    <xdr:from>
      <xdr:col>1</xdr:col>
      <xdr:colOff>63500</xdr:colOff>
      <xdr:row>259</xdr:row>
      <xdr:rowOff>230843</xdr:rowOff>
    </xdr:from>
    <xdr:ext cx="813884" cy="620058"/>
    <xdr:pic>
      <xdr:nvPicPr>
        <xdr:cNvPr id="15" name="Picture 1" descr="MODUS SPMN">
          <a:extLst>
            <a:ext uri="{FF2B5EF4-FFF2-40B4-BE49-F238E27FC236}">
              <a16:creationId xmlns:a16="http://schemas.microsoft.com/office/drawing/2014/main" id="{5E8F03BE-E591-4B03-9F8B-8C4AA1C9CA1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 cstate="print"/>
        <a:srcRect t="14789" b="9243"/>
        <a:stretch>
          <a:fillRect/>
        </a:stretch>
      </xdr:blipFill>
      <xdr:spPr bwMode="auto">
        <a:xfrm>
          <a:off x="673100" y="42102743"/>
          <a:ext cx="813884" cy="620058"/>
        </a:xfrm>
        <a:prstGeom prst="rect">
          <a:avLst/>
        </a:prstGeom>
        <a:noFill/>
      </xdr:spPr>
    </xdr:pic>
    <xdr:clientData/>
  </xdr:oneCellAnchor>
  <xdr:oneCellAnchor>
    <xdr:from>
      <xdr:col>1</xdr:col>
      <xdr:colOff>60801</xdr:colOff>
      <xdr:row>260</xdr:row>
      <xdr:rowOff>246938</xdr:rowOff>
    </xdr:from>
    <xdr:ext cx="1726746" cy="643131"/>
    <xdr:pic>
      <xdr:nvPicPr>
        <xdr:cNvPr id="16" name="Picture 4" descr="https://www.osmont.cz/productImages/740/4_158460572545.png">
          <a:extLst>
            <a:ext uri="{FF2B5EF4-FFF2-40B4-BE49-F238E27FC236}">
              <a16:creationId xmlns:a16="http://schemas.microsoft.com/office/drawing/2014/main" id="{89146454-4DBB-4A34-9DF4-397EEA1FE8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" cstate="print"/>
        <a:srcRect l="11025" t="29295" r="13230" b="42525"/>
        <a:stretch>
          <a:fillRect/>
        </a:stretch>
      </xdr:blipFill>
      <xdr:spPr bwMode="auto">
        <a:xfrm>
          <a:off x="670401" y="42261713"/>
          <a:ext cx="1726746" cy="643131"/>
        </a:xfrm>
        <a:prstGeom prst="rect">
          <a:avLst/>
        </a:prstGeom>
        <a:noFill/>
      </xdr:spPr>
    </xdr:pic>
    <xdr:clientData/>
  </xdr:oneCellAnchor>
  <xdr:oneCellAnchor>
    <xdr:from>
      <xdr:col>1</xdr:col>
      <xdr:colOff>12835</xdr:colOff>
      <xdr:row>262</xdr:row>
      <xdr:rowOff>109041</xdr:rowOff>
    </xdr:from>
    <xdr:ext cx="994528" cy="703759"/>
    <xdr:pic>
      <xdr:nvPicPr>
        <xdr:cNvPr id="17" name="Picture 1" descr="https://www.modus.cz/content-img/thumbs/product-main-thumbnail/lovato-p_modus__497.jpg">
          <a:extLst>
            <a:ext uri="{FF2B5EF4-FFF2-40B4-BE49-F238E27FC236}">
              <a16:creationId xmlns:a16="http://schemas.microsoft.com/office/drawing/2014/main" id="{EEC71566-6A1C-4DBD-B76A-4E80AE05A8D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 cstate="print"/>
        <a:srcRect l="4930" t="19719" r="6162" b="20336"/>
        <a:stretch>
          <a:fillRect/>
        </a:stretch>
      </xdr:blipFill>
      <xdr:spPr bwMode="auto">
        <a:xfrm>
          <a:off x="622435" y="42533391"/>
          <a:ext cx="994528" cy="703759"/>
        </a:xfrm>
        <a:prstGeom prst="rect">
          <a:avLst/>
        </a:prstGeom>
        <a:noFill/>
      </xdr:spPr>
    </xdr:pic>
    <xdr:clientData/>
  </xdr:oneCellAnchor>
</xdr:wsDr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CB3217F8-FF0F-46FE-9E92-E8FA59FF3C21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285750" cy="285750"/>
        </a:xfrm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350D66E2-31C0-458E-9DEC-37FAB697292B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285750" cy="285750"/>
        </a:xfrm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C41BD62C-DEB5-42EF-80D7-7D6D4A6805EA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285750" cy="285750"/>
        </a:xfrm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39632</xdr:colOff>
      <xdr:row>266</xdr:row>
      <xdr:rowOff>181204</xdr:rowOff>
    </xdr:from>
    <xdr:ext cx="1359777" cy="667723"/>
    <xdr:pic>
      <xdr:nvPicPr>
        <xdr:cNvPr id="2" name="Obrázek 1" descr="katalog2010_Stránka_110-obrázek.jpg">
          <a:extLst>
            <a:ext uri="{FF2B5EF4-FFF2-40B4-BE49-F238E27FC236}">
              <a16:creationId xmlns:a16="http://schemas.microsoft.com/office/drawing/2014/main" id="{03EC38C4-7E72-4C89-A319-5C4C50F692C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9232" y="43234204"/>
          <a:ext cx="1359777" cy="667723"/>
        </a:xfrm>
        <a:prstGeom prst="rect">
          <a:avLst/>
        </a:prstGeom>
      </xdr:spPr>
    </xdr:pic>
    <xdr:clientData/>
  </xdr:oneCellAnchor>
  <xdr:oneCellAnchor>
    <xdr:from>
      <xdr:col>1</xdr:col>
      <xdr:colOff>1407072</xdr:colOff>
      <xdr:row>266</xdr:row>
      <xdr:rowOff>105761</xdr:rowOff>
    </xdr:from>
    <xdr:ext cx="1546303" cy="738789"/>
    <xdr:pic>
      <xdr:nvPicPr>
        <xdr:cNvPr id="3" name="Obrázek 2" descr="katalog2010_Stránka_110-rozměry.jpg">
          <a:extLst>
            <a:ext uri="{FF2B5EF4-FFF2-40B4-BE49-F238E27FC236}">
              <a16:creationId xmlns:a16="http://schemas.microsoft.com/office/drawing/2014/main" id="{28C52362-C0D4-4861-B0D8-B65165C58A2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216572" y="43177811"/>
          <a:ext cx="1546303" cy="738789"/>
        </a:xfrm>
        <a:prstGeom prst="rect">
          <a:avLst/>
        </a:prstGeom>
      </xdr:spPr>
    </xdr:pic>
    <xdr:clientData/>
  </xdr:oneCellAnchor>
  <xdr:oneCellAnchor>
    <xdr:from>
      <xdr:col>1</xdr:col>
      <xdr:colOff>57150</xdr:colOff>
      <xdr:row>252</xdr:row>
      <xdr:rowOff>218227</xdr:rowOff>
    </xdr:from>
    <xdr:ext cx="1003300" cy="694176"/>
    <xdr:pic>
      <xdr:nvPicPr>
        <xdr:cNvPr id="4" name="Picture 1" descr="MODUS Q B">
          <a:extLst>
            <a:ext uri="{FF2B5EF4-FFF2-40B4-BE49-F238E27FC236}">
              <a16:creationId xmlns:a16="http://schemas.microsoft.com/office/drawing/2014/main" id="{0E1CD6AC-7434-454A-A972-B75F9A0359D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 t="14789" b="16022"/>
        <a:stretch>
          <a:fillRect/>
        </a:stretch>
      </xdr:blipFill>
      <xdr:spPr bwMode="auto">
        <a:xfrm>
          <a:off x="666750" y="40966177"/>
          <a:ext cx="1003300" cy="694176"/>
        </a:xfrm>
        <a:prstGeom prst="rect">
          <a:avLst/>
        </a:prstGeom>
        <a:noFill/>
      </xdr:spPr>
    </xdr:pic>
    <xdr:clientData/>
  </xdr:oneCellAnchor>
  <xdr:oneCellAnchor>
    <xdr:from>
      <xdr:col>1</xdr:col>
      <xdr:colOff>57150</xdr:colOff>
      <xdr:row>247</xdr:row>
      <xdr:rowOff>218227</xdr:rowOff>
    </xdr:from>
    <xdr:ext cx="1003300" cy="694176"/>
    <xdr:pic>
      <xdr:nvPicPr>
        <xdr:cNvPr id="5" name="Picture 1" descr="MODUS Q B">
          <a:extLst>
            <a:ext uri="{FF2B5EF4-FFF2-40B4-BE49-F238E27FC236}">
              <a16:creationId xmlns:a16="http://schemas.microsoft.com/office/drawing/2014/main" id="{9505CBFE-D5A1-461F-B183-138067E54AC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 t="14789" b="16022"/>
        <a:stretch>
          <a:fillRect/>
        </a:stretch>
      </xdr:blipFill>
      <xdr:spPr bwMode="auto">
        <a:xfrm>
          <a:off x="666750" y="40156552"/>
          <a:ext cx="1003300" cy="694176"/>
        </a:xfrm>
        <a:prstGeom prst="rect">
          <a:avLst/>
        </a:prstGeom>
        <a:noFill/>
      </xdr:spPr>
    </xdr:pic>
    <xdr:clientData/>
  </xdr:oneCellAnchor>
  <xdr:oneCellAnchor>
    <xdr:from>
      <xdr:col>1</xdr:col>
      <xdr:colOff>57150</xdr:colOff>
      <xdr:row>248</xdr:row>
      <xdr:rowOff>218227</xdr:rowOff>
    </xdr:from>
    <xdr:ext cx="1003300" cy="694176"/>
    <xdr:pic>
      <xdr:nvPicPr>
        <xdr:cNvPr id="6" name="Picture 1" descr="MODUS Q B">
          <a:extLst>
            <a:ext uri="{FF2B5EF4-FFF2-40B4-BE49-F238E27FC236}">
              <a16:creationId xmlns:a16="http://schemas.microsoft.com/office/drawing/2014/main" id="{621F492E-6F68-4D87-A582-6343A12B761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 t="14789" b="16022"/>
        <a:stretch>
          <a:fillRect/>
        </a:stretch>
      </xdr:blipFill>
      <xdr:spPr bwMode="auto">
        <a:xfrm>
          <a:off x="666750" y="40318477"/>
          <a:ext cx="1003300" cy="694176"/>
        </a:xfrm>
        <a:prstGeom prst="rect">
          <a:avLst/>
        </a:prstGeom>
        <a:noFill/>
      </xdr:spPr>
    </xdr:pic>
    <xdr:clientData/>
  </xdr:oneCellAnchor>
  <xdr:oneCellAnchor>
    <xdr:from>
      <xdr:col>1</xdr:col>
      <xdr:colOff>57150</xdr:colOff>
      <xdr:row>249</xdr:row>
      <xdr:rowOff>218227</xdr:rowOff>
    </xdr:from>
    <xdr:ext cx="1003300" cy="694176"/>
    <xdr:pic>
      <xdr:nvPicPr>
        <xdr:cNvPr id="7" name="Picture 1" descr="MODUS Q B">
          <a:extLst>
            <a:ext uri="{FF2B5EF4-FFF2-40B4-BE49-F238E27FC236}">
              <a16:creationId xmlns:a16="http://schemas.microsoft.com/office/drawing/2014/main" id="{A81E0507-AD3E-4394-B42C-5E9F98F285D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 t="14789" b="16022"/>
        <a:stretch>
          <a:fillRect/>
        </a:stretch>
      </xdr:blipFill>
      <xdr:spPr bwMode="auto">
        <a:xfrm>
          <a:off x="666750" y="40480402"/>
          <a:ext cx="1003300" cy="694176"/>
        </a:xfrm>
        <a:prstGeom prst="rect">
          <a:avLst/>
        </a:prstGeom>
        <a:noFill/>
      </xdr:spPr>
    </xdr:pic>
    <xdr:clientData/>
  </xdr:oneCellAnchor>
  <xdr:oneCellAnchor>
    <xdr:from>
      <xdr:col>1</xdr:col>
      <xdr:colOff>57150</xdr:colOff>
      <xdr:row>250</xdr:row>
      <xdr:rowOff>218227</xdr:rowOff>
    </xdr:from>
    <xdr:ext cx="1003300" cy="694176"/>
    <xdr:pic>
      <xdr:nvPicPr>
        <xdr:cNvPr id="8" name="Picture 1" descr="MODUS Q B">
          <a:extLst>
            <a:ext uri="{FF2B5EF4-FFF2-40B4-BE49-F238E27FC236}">
              <a16:creationId xmlns:a16="http://schemas.microsoft.com/office/drawing/2014/main" id="{F0EA05A3-0BE5-4F3D-9ED9-39E16965E1E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 t="14789" b="16022"/>
        <a:stretch>
          <a:fillRect/>
        </a:stretch>
      </xdr:blipFill>
      <xdr:spPr bwMode="auto">
        <a:xfrm>
          <a:off x="666750" y="40642327"/>
          <a:ext cx="1003300" cy="694176"/>
        </a:xfrm>
        <a:prstGeom prst="rect">
          <a:avLst/>
        </a:prstGeom>
        <a:noFill/>
      </xdr:spPr>
    </xdr:pic>
    <xdr:clientData/>
  </xdr:oneCellAnchor>
  <xdr:oneCellAnchor>
    <xdr:from>
      <xdr:col>1</xdr:col>
      <xdr:colOff>57150</xdr:colOff>
      <xdr:row>251</xdr:row>
      <xdr:rowOff>218227</xdr:rowOff>
    </xdr:from>
    <xdr:ext cx="1003300" cy="694176"/>
    <xdr:pic>
      <xdr:nvPicPr>
        <xdr:cNvPr id="9" name="Picture 1" descr="MODUS Q B">
          <a:extLst>
            <a:ext uri="{FF2B5EF4-FFF2-40B4-BE49-F238E27FC236}">
              <a16:creationId xmlns:a16="http://schemas.microsoft.com/office/drawing/2014/main" id="{3C3E1DFD-740E-47B0-BA0B-9F3287974C1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 t="14789" b="16022"/>
        <a:stretch>
          <a:fillRect/>
        </a:stretch>
      </xdr:blipFill>
      <xdr:spPr bwMode="auto">
        <a:xfrm>
          <a:off x="666750" y="40804252"/>
          <a:ext cx="1003300" cy="694176"/>
        </a:xfrm>
        <a:prstGeom prst="rect">
          <a:avLst/>
        </a:prstGeom>
        <a:noFill/>
      </xdr:spPr>
    </xdr:pic>
    <xdr:clientData/>
  </xdr:oneCellAnchor>
  <xdr:oneCellAnchor>
    <xdr:from>
      <xdr:col>1</xdr:col>
      <xdr:colOff>44450</xdr:colOff>
      <xdr:row>253</xdr:row>
      <xdr:rowOff>214585</xdr:rowOff>
    </xdr:from>
    <xdr:ext cx="833475" cy="579165"/>
    <xdr:pic>
      <xdr:nvPicPr>
        <xdr:cNvPr id="10" name="Picture 4" descr="http://www.modus.cz/data/lighting/group/6387.jpg">
          <a:extLst>
            <a:ext uri="{FF2B5EF4-FFF2-40B4-BE49-F238E27FC236}">
              <a16:creationId xmlns:a16="http://schemas.microsoft.com/office/drawing/2014/main" id="{E075265F-207B-4E37-9E3A-3B5B6E38D46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 t="12795" b="17717"/>
        <a:stretch>
          <a:fillRect/>
        </a:stretch>
      </xdr:blipFill>
      <xdr:spPr bwMode="auto">
        <a:xfrm>
          <a:off x="654050" y="41124460"/>
          <a:ext cx="833475" cy="579165"/>
        </a:xfrm>
        <a:prstGeom prst="rect">
          <a:avLst/>
        </a:prstGeom>
        <a:noFill/>
      </xdr:spPr>
    </xdr:pic>
    <xdr:clientData/>
  </xdr:oneCellAnchor>
  <xdr:oneCellAnchor>
    <xdr:from>
      <xdr:col>1</xdr:col>
      <xdr:colOff>44450</xdr:colOff>
      <xdr:row>254</xdr:row>
      <xdr:rowOff>214585</xdr:rowOff>
    </xdr:from>
    <xdr:ext cx="833475" cy="579165"/>
    <xdr:pic>
      <xdr:nvPicPr>
        <xdr:cNvPr id="11" name="Picture 4" descr="http://www.modus.cz/data/lighting/group/6387.jpg">
          <a:extLst>
            <a:ext uri="{FF2B5EF4-FFF2-40B4-BE49-F238E27FC236}">
              <a16:creationId xmlns:a16="http://schemas.microsoft.com/office/drawing/2014/main" id="{40ABBC94-1CCF-4FF9-AE62-91DF93B9339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 t="12795" b="17717"/>
        <a:stretch>
          <a:fillRect/>
        </a:stretch>
      </xdr:blipFill>
      <xdr:spPr bwMode="auto">
        <a:xfrm>
          <a:off x="654050" y="41286385"/>
          <a:ext cx="833475" cy="579165"/>
        </a:xfrm>
        <a:prstGeom prst="rect">
          <a:avLst/>
        </a:prstGeom>
        <a:noFill/>
      </xdr:spPr>
    </xdr:pic>
    <xdr:clientData/>
  </xdr:oneCellAnchor>
  <xdr:oneCellAnchor>
    <xdr:from>
      <xdr:col>1</xdr:col>
      <xdr:colOff>63500</xdr:colOff>
      <xdr:row>255</xdr:row>
      <xdr:rowOff>228600</xdr:rowOff>
    </xdr:from>
    <xdr:ext cx="1587500" cy="695449"/>
    <xdr:pic>
      <xdr:nvPicPr>
        <xdr:cNvPr id="12" name="Obrázek 11" descr="Aura 4 931acz - orez.jpg">
          <a:extLst>
            <a:ext uri="{FF2B5EF4-FFF2-40B4-BE49-F238E27FC236}">
              <a16:creationId xmlns:a16="http://schemas.microsoft.com/office/drawing/2014/main" id="{80351A52-5C2F-491C-9D02-434DEAE7D1B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73100" y="41452800"/>
          <a:ext cx="1587500" cy="695449"/>
        </a:xfrm>
        <a:prstGeom prst="rect">
          <a:avLst/>
        </a:prstGeom>
      </xdr:spPr>
    </xdr:pic>
    <xdr:clientData/>
  </xdr:oneCellAnchor>
  <xdr:oneCellAnchor>
    <xdr:from>
      <xdr:col>1</xdr:col>
      <xdr:colOff>44204</xdr:colOff>
      <xdr:row>256</xdr:row>
      <xdr:rowOff>203200</xdr:rowOff>
    </xdr:from>
    <xdr:ext cx="861605" cy="825248"/>
    <xdr:pic>
      <xdr:nvPicPr>
        <xdr:cNvPr id="13" name="Picture 1" descr="FLORA 2 LED-1L27C03DU12/125 3000* 9W IP4">
          <a:extLst>
            <a:ext uri="{FF2B5EF4-FFF2-40B4-BE49-F238E27FC236}">
              <a16:creationId xmlns:a16="http://schemas.microsoft.com/office/drawing/2014/main" id="{AF5AD3D2-CAA7-4814-BE3B-AA695D4D6C1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 l="20863" t="15767" r="17348" b="25068"/>
        <a:stretch>
          <a:fillRect/>
        </a:stretch>
      </xdr:blipFill>
      <xdr:spPr bwMode="auto">
        <a:xfrm>
          <a:off x="653804" y="41617900"/>
          <a:ext cx="861605" cy="825248"/>
        </a:xfrm>
        <a:prstGeom prst="rect">
          <a:avLst/>
        </a:prstGeom>
        <a:noFill/>
      </xdr:spPr>
    </xdr:pic>
    <xdr:clientData/>
  </xdr:oneCellAnchor>
  <xdr:oneCellAnchor>
    <xdr:from>
      <xdr:col>1</xdr:col>
      <xdr:colOff>80982</xdr:colOff>
      <xdr:row>258</xdr:row>
      <xdr:rowOff>256197</xdr:rowOff>
    </xdr:from>
    <xdr:ext cx="1381089" cy="360767"/>
    <xdr:pic>
      <xdr:nvPicPr>
        <xdr:cNvPr id="14" name="Picture 2" descr="https://www.ledsviti.cz/user/shop/big/175355-3_led-venkovni-svitidlo-salix-s-60-6w-denni-bila.jpg?619f57ad">
          <a:extLst>
            <a:ext uri="{FF2B5EF4-FFF2-40B4-BE49-F238E27FC236}">
              <a16:creationId xmlns:a16="http://schemas.microsoft.com/office/drawing/2014/main" id="{7A26B3BD-CF5A-4853-9898-84316FF8789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/>
        <a:srcRect l="36909" r="36909"/>
        <a:stretch>
          <a:fillRect/>
        </a:stretch>
      </xdr:blipFill>
      <xdr:spPr bwMode="auto">
        <a:xfrm rot="5400000">
          <a:off x="1200743" y="41427436"/>
          <a:ext cx="360767" cy="1381089"/>
        </a:xfrm>
        <a:prstGeom prst="rect">
          <a:avLst/>
        </a:prstGeom>
        <a:noFill/>
      </xdr:spPr>
    </xdr:pic>
    <xdr:clientData/>
  </xdr:oneCellAnchor>
  <xdr:oneCellAnchor>
    <xdr:from>
      <xdr:col>1</xdr:col>
      <xdr:colOff>139700</xdr:colOff>
      <xdr:row>259</xdr:row>
      <xdr:rowOff>278473</xdr:rowOff>
    </xdr:from>
    <xdr:ext cx="555335" cy="562769"/>
    <xdr:pic>
      <xdr:nvPicPr>
        <xdr:cNvPr id="15" name="Picture 3" descr="Lutec 5189114118 LED venkovní nástěnná lampa Gemini 1x9W | 850lm | 4000K | IP54 - svítí nahoru/dolů">
          <a:extLst>
            <a:ext uri="{FF2B5EF4-FFF2-40B4-BE49-F238E27FC236}">
              <a16:creationId xmlns:a16="http://schemas.microsoft.com/office/drawing/2014/main" id="{71D22085-E09F-409A-950C-665C1D623EB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 cstate="print"/>
        <a:srcRect l="18246" t="24111" r="22807" b="16291"/>
        <a:stretch>
          <a:fillRect/>
        </a:stretch>
      </xdr:blipFill>
      <xdr:spPr bwMode="auto">
        <a:xfrm>
          <a:off x="749300" y="42102748"/>
          <a:ext cx="555335" cy="562769"/>
        </a:xfrm>
        <a:prstGeom prst="rect">
          <a:avLst/>
        </a:prstGeom>
        <a:noFill/>
      </xdr:spPr>
    </xdr:pic>
    <xdr:clientData/>
  </xdr:oneCellAnchor>
  <xdr:oneCellAnchor>
    <xdr:from>
      <xdr:col>1</xdr:col>
      <xdr:colOff>63500</xdr:colOff>
      <xdr:row>261</xdr:row>
      <xdr:rowOff>230843</xdr:rowOff>
    </xdr:from>
    <xdr:ext cx="813884" cy="620058"/>
    <xdr:pic>
      <xdr:nvPicPr>
        <xdr:cNvPr id="16" name="Picture 1" descr="MODUS SPMN">
          <a:extLst>
            <a:ext uri="{FF2B5EF4-FFF2-40B4-BE49-F238E27FC236}">
              <a16:creationId xmlns:a16="http://schemas.microsoft.com/office/drawing/2014/main" id="{C37882A4-1595-459C-B58D-72542C48F4A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 cstate="print"/>
        <a:srcRect t="14789" b="9243"/>
        <a:stretch>
          <a:fillRect/>
        </a:stretch>
      </xdr:blipFill>
      <xdr:spPr bwMode="auto">
        <a:xfrm>
          <a:off x="673100" y="42426593"/>
          <a:ext cx="813884" cy="620058"/>
        </a:xfrm>
        <a:prstGeom prst="rect">
          <a:avLst/>
        </a:prstGeom>
        <a:noFill/>
      </xdr:spPr>
    </xdr:pic>
    <xdr:clientData/>
  </xdr:oneCellAnchor>
  <xdr:oneCellAnchor>
    <xdr:from>
      <xdr:col>1</xdr:col>
      <xdr:colOff>63500</xdr:colOff>
      <xdr:row>260</xdr:row>
      <xdr:rowOff>230843</xdr:rowOff>
    </xdr:from>
    <xdr:ext cx="813884" cy="620058"/>
    <xdr:pic>
      <xdr:nvPicPr>
        <xdr:cNvPr id="17" name="Picture 1" descr="MODUS SPMN">
          <a:extLst>
            <a:ext uri="{FF2B5EF4-FFF2-40B4-BE49-F238E27FC236}">
              <a16:creationId xmlns:a16="http://schemas.microsoft.com/office/drawing/2014/main" id="{AA98767C-2FD4-4849-B261-3CC060FAF2E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 cstate="print"/>
        <a:srcRect t="14789" b="9243"/>
        <a:stretch>
          <a:fillRect/>
        </a:stretch>
      </xdr:blipFill>
      <xdr:spPr bwMode="auto">
        <a:xfrm>
          <a:off x="673100" y="42264668"/>
          <a:ext cx="813884" cy="620058"/>
        </a:xfrm>
        <a:prstGeom prst="rect">
          <a:avLst/>
        </a:prstGeom>
        <a:noFill/>
      </xdr:spPr>
    </xdr:pic>
    <xdr:clientData/>
  </xdr:oneCellAnchor>
  <xdr:oneCellAnchor>
    <xdr:from>
      <xdr:col>1</xdr:col>
      <xdr:colOff>63500</xdr:colOff>
      <xdr:row>262</xdr:row>
      <xdr:rowOff>230843</xdr:rowOff>
    </xdr:from>
    <xdr:ext cx="813884" cy="620058"/>
    <xdr:pic>
      <xdr:nvPicPr>
        <xdr:cNvPr id="18" name="Picture 1" descr="MODUS SPMN">
          <a:extLst>
            <a:ext uri="{FF2B5EF4-FFF2-40B4-BE49-F238E27FC236}">
              <a16:creationId xmlns:a16="http://schemas.microsoft.com/office/drawing/2014/main" id="{263D1A5D-8D78-4A3B-89FB-182B92F7069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 cstate="print"/>
        <a:srcRect t="14789" b="9243"/>
        <a:stretch>
          <a:fillRect/>
        </a:stretch>
      </xdr:blipFill>
      <xdr:spPr bwMode="auto">
        <a:xfrm>
          <a:off x="673100" y="42588518"/>
          <a:ext cx="813884" cy="620058"/>
        </a:xfrm>
        <a:prstGeom prst="rect">
          <a:avLst/>
        </a:prstGeom>
        <a:noFill/>
      </xdr:spPr>
    </xdr:pic>
    <xdr:clientData/>
  </xdr:oneCellAnchor>
  <xdr:oneCellAnchor>
    <xdr:from>
      <xdr:col>1</xdr:col>
      <xdr:colOff>60801</xdr:colOff>
      <xdr:row>263</xdr:row>
      <xdr:rowOff>246938</xdr:rowOff>
    </xdr:from>
    <xdr:ext cx="1726746" cy="643131"/>
    <xdr:pic>
      <xdr:nvPicPr>
        <xdr:cNvPr id="19" name="Picture 4" descr="https://www.osmont.cz/productImages/740/4_158460572545.png">
          <a:extLst>
            <a:ext uri="{FF2B5EF4-FFF2-40B4-BE49-F238E27FC236}">
              <a16:creationId xmlns:a16="http://schemas.microsoft.com/office/drawing/2014/main" id="{B44EDDB8-CF60-4923-A647-82B82EC6805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" cstate="print"/>
        <a:srcRect l="11025" t="29295" r="13230" b="42525"/>
        <a:stretch>
          <a:fillRect/>
        </a:stretch>
      </xdr:blipFill>
      <xdr:spPr bwMode="auto">
        <a:xfrm>
          <a:off x="670401" y="42747488"/>
          <a:ext cx="1726746" cy="643131"/>
        </a:xfrm>
        <a:prstGeom prst="rect">
          <a:avLst/>
        </a:prstGeom>
        <a:noFill/>
      </xdr:spPr>
    </xdr:pic>
    <xdr:clientData/>
  </xdr:oneCellAnchor>
  <xdr:oneCellAnchor>
    <xdr:from>
      <xdr:col>1</xdr:col>
      <xdr:colOff>12835</xdr:colOff>
      <xdr:row>265</xdr:row>
      <xdr:rowOff>109041</xdr:rowOff>
    </xdr:from>
    <xdr:ext cx="994528" cy="672009"/>
    <xdr:pic>
      <xdr:nvPicPr>
        <xdr:cNvPr id="20" name="Picture 1" descr="https://www.modus.cz/content-img/thumbs/product-main-thumbnail/lovato-p_modus__497.jpg">
          <a:extLst>
            <a:ext uri="{FF2B5EF4-FFF2-40B4-BE49-F238E27FC236}">
              <a16:creationId xmlns:a16="http://schemas.microsoft.com/office/drawing/2014/main" id="{F95C56EF-D3DC-4E55-A575-E412F2FDA9F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 cstate="print"/>
        <a:srcRect l="4930" t="19719" r="6162" b="20336"/>
        <a:stretch>
          <a:fillRect/>
        </a:stretch>
      </xdr:blipFill>
      <xdr:spPr bwMode="auto">
        <a:xfrm>
          <a:off x="622435" y="43019166"/>
          <a:ext cx="994528" cy="672009"/>
        </a:xfrm>
        <a:prstGeom prst="rect">
          <a:avLst/>
        </a:prstGeom>
        <a:noFill/>
      </xdr:spPr>
    </xdr:pic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BFD969A9-585F-429D-81C1-51D28404DE7B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285750" cy="285750"/>
        </a:xfrm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273D35BB-9A10-4D6B-ABB7-72563D7F9E7C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285750" cy="285750"/>
        </a:xfrm>
        <a:prstGeom prst="rect">
          <a:avLst/>
        </a:prstGeom>
      </xdr:spPr>
    </xdr:pic>
    <xdr:clientData/>
  </xdr:absoluteAnchor>
</xdr:wsDr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Rozpočet1_95" connectionId="29" xr16:uid="{00000000-0016-0000-0100-000010000000}" autoFormatId="16" applyNumberFormats="0" applyBorderFormats="0" applyFontFormats="1" applyPatternFormats="1" applyAlignmentFormats="0" applyWidthHeightFormats="0"/>
</file>

<file path=xl/queryTables/queryTable1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Rozpočet1_119" connectionId="4" xr16:uid="{00000000-0016-0000-0100-000007000000}" autoFormatId="16" applyNumberFormats="0" applyBorderFormats="0" applyFontFormats="1" applyPatternFormats="1" applyAlignmentFormats="0" applyWidthHeightFormats="0"/>
</file>

<file path=xl/queryTables/queryTable1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Rozpočet1_118" connectionId="6" xr16:uid="{00000000-0016-0000-0100-000006000000}" autoFormatId="16" applyNumberFormats="0" applyBorderFormats="0" applyFontFormats="1" applyPatternFormats="1" applyAlignmentFormats="0" applyWidthHeightFormats="0"/>
</file>

<file path=xl/queryTables/queryTable1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Rozpočet1_81" connectionId="25" xr16:uid="{00000000-0016-0000-0100-000005000000}" autoFormatId="16" applyNumberFormats="0" applyBorderFormats="0" applyFontFormats="1" applyPatternFormats="1" applyAlignmentFormats="0" applyWidthHeightFormats="0"/>
</file>

<file path=xl/queryTables/queryTable1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Rozpočet1_117" connectionId="15" xr16:uid="{00000000-0016-0000-0100-000004000000}" autoFormatId="16" applyNumberFormats="0" applyBorderFormats="0" applyFontFormats="1" applyPatternFormats="1" applyAlignmentFormats="0" applyWidthHeightFormats="0"/>
</file>

<file path=xl/queryTables/queryTable1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Rozpočet1_126" connectionId="10" xr16:uid="{00000000-0016-0000-0100-000003000000}" autoFormatId="16" applyNumberFormats="0" applyBorderFormats="0" applyFontFormats="1" applyPatternFormats="1" applyAlignmentFormats="0" applyWidthHeightFormats="0"/>
</file>

<file path=xl/queryTables/queryTable1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Rozpočet1_125" connectionId="12" xr16:uid="{00000000-0016-0000-0100-000002000000}" autoFormatId="16" applyNumberFormats="0" applyBorderFormats="0" applyFontFormats="1" applyPatternFormats="1" applyAlignmentFormats="0" applyWidthHeightFormats="0"/>
</file>

<file path=xl/queryTables/queryTable1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Rozpočet1" connectionId="23" xr16:uid="{00000000-0016-0000-0100-000001000000}" autoFormatId="16" applyNumberFormats="0" applyBorderFormats="0" applyFontFormats="1" applyPatternFormats="1" applyAlignmentFormats="0" applyWidthHeightFormats="0"/>
</file>

<file path=xl/queryTables/queryTable1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Rozpočet1_78" connectionId="19" xr16:uid="{00000000-0016-0000-0100-000000000000}" autoFormatId="16" applyNumberFormats="0" applyBorderFormats="0" applyFontFormats="1" applyPatternFormats="1" applyAlignmentFormats="0" applyWidthHeightFormats="0"/>
</file>

<file path=xl/queryTables/queryTable1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Rozpočet1_127" connectionId="16" xr16:uid="{00000000-0016-0000-0200-000021000000}" autoFormatId="16" applyNumberFormats="0" applyBorderFormats="0" applyFontFormats="1" applyPatternFormats="1" applyAlignmentFormats="0" applyWidthHeightFormats="0"/>
</file>

<file path=xl/queryTables/queryTable1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Rozpočet1_121" connectionId="7" xr16:uid="{00000000-0016-0000-0200-000020000000}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Rozpočet1_93" connectionId="21" xr16:uid="{00000000-0016-0000-0100-00000F000000}" autoFormatId="16" applyNumberFormats="0" applyBorderFormats="0" applyFontFormats="1" applyPatternFormats="1" applyAlignmentFormats="0" applyWidthHeightFormats="0"/>
</file>

<file path=xl/queryTables/queryTable2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Rozpočet1_93" connectionId="22" xr16:uid="{00000000-0016-0000-0200-00001F000000}" autoFormatId="16" applyNumberFormats="0" applyBorderFormats="0" applyFontFormats="1" applyPatternFormats="1" applyAlignmentFormats="0" applyWidthHeightFormats="0"/>
</file>

<file path=xl/queryTables/queryTable2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Rozpočet1_92" connectionId="34" xr16:uid="{00000000-0016-0000-0200-00001E000000}" autoFormatId="16" applyNumberFormats="0" applyBorderFormats="0" applyFontFormats="1" applyPatternFormats="1" applyAlignmentFormats="0" applyWidthHeightFormats="0"/>
</file>

<file path=xl/queryTables/queryTable2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Rozpočet1_123" connectionId="3" xr16:uid="{00000000-0016-0000-0200-00001D000000}" autoFormatId="16" applyNumberFormats="0" applyBorderFormats="0" applyFontFormats="1" applyPatternFormats="1" applyAlignmentFormats="0" applyWidthHeightFormats="0"/>
</file>

<file path=xl/queryTables/queryTable2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Rozpočet1_81" connectionId="26" xr16:uid="{00000000-0016-0000-0200-00001C000000}" autoFormatId="16" applyNumberFormats="0" applyBorderFormats="0" applyFontFormats="1" applyPatternFormats="1" applyAlignmentFormats="0" applyWidthHeightFormats="0"/>
</file>

<file path=xl/queryTables/queryTable2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Rozpočet1_117" connectionId="18" xr16:uid="{00000000-0016-0000-0200-00001B000000}" autoFormatId="16" applyNumberFormats="0" applyBorderFormats="0" applyFontFormats="1" applyPatternFormats="1" applyAlignmentFormats="0" applyWidthHeightFormats="0"/>
</file>

<file path=xl/queryTables/queryTable2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Rozpočet1_125" connectionId="11" xr16:uid="{00000000-0016-0000-0200-00001A000000}" autoFormatId="16" applyNumberFormats="0" applyBorderFormats="0" applyFontFormats="1" applyPatternFormats="1" applyAlignmentFormats="0" applyWidthHeightFormats="0"/>
</file>

<file path=xl/queryTables/queryTable2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Rozpočet1_126" connectionId="9" xr16:uid="{00000000-0016-0000-0200-000019000000}" autoFormatId="16" applyNumberFormats="0" applyBorderFormats="0" applyFontFormats="1" applyPatternFormats="1" applyAlignmentFormats="0" applyWidthHeightFormats="0"/>
</file>

<file path=xl/queryTables/queryTable2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Rozpočet1" connectionId="24" xr16:uid="{00000000-0016-0000-0200-000018000000}" autoFormatId="16" applyNumberFormats="0" applyBorderFormats="0" applyFontFormats="1" applyPatternFormats="1" applyAlignmentFormats="0" applyWidthHeightFormats="0"/>
</file>

<file path=xl/queryTables/queryTable2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Rozpočet1_78" connectionId="20" xr16:uid="{00000000-0016-0000-0200-000017000000}" autoFormatId="16" applyNumberFormats="0" applyBorderFormats="0" applyFontFormats="1" applyPatternFormats="1" applyAlignmentFormats="0" applyWidthHeightFormats="0"/>
</file>

<file path=xl/queryTables/queryTable2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Rozpočet1_100" connectionId="14" xr16:uid="{00000000-0016-0000-0200-000016000000}" autoFormatId="16" applyNumberFormats="0" applyBorderFormats="0" applyFontFormats="1" applyPatternFormats="1" applyAlignmentFormats="0" applyWidthHeightFormats="0"/>
</file>

<file path=xl/queryTables/queryTable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Rozpočet1_92" connectionId="33" xr16:uid="{00000000-0016-0000-0100-00000E000000}" autoFormatId="16" applyNumberFormats="0" applyBorderFormats="0" applyFontFormats="1" applyPatternFormats="1" applyAlignmentFormats="0" applyWidthHeightFormats="0"/>
</file>

<file path=xl/queryTables/queryTable3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Rozpočet1_109" connectionId="28" xr16:uid="{00000000-0016-0000-0200-000015000000}" autoFormatId="16" applyNumberFormats="0" applyBorderFormats="0" applyFontFormats="1" applyPatternFormats="1" applyAlignmentFormats="0" applyWidthHeightFormats="0"/>
</file>

<file path=xl/queryTables/queryTable3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Rozpočet1_124" connectionId="1" xr16:uid="{00000000-0016-0000-0200-000014000000}" autoFormatId="16" applyNumberFormats="0" applyBorderFormats="0" applyFontFormats="1" applyPatternFormats="1" applyAlignmentFormats="0" applyWidthHeightFormats="0"/>
</file>

<file path=xl/queryTables/queryTable3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Rozpočet1_122" connectionId="5" xr16:uid="{00000000-0016-0000-0200-000013000000}" autoFormatId="16" applyNumberFormats="0" applyBorderFormats="0" applyFontFormats="1" applyPatternFormats="1" applyAlignmentFormats="0" applyWidthHeightFormats="0"/>
</file>

<file path=xl/queryTables/queryTable3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Rozpočet1_95" connectionId="30" xr16:uid="{00000000-0016-0000-0200-000012000000}" autoFormatId="16" applyNumberFormats="0" applyBorderFormats="0" applyFontFormats="1" applyPatternFormats="1" applyAlignmentFormats="0" applyWidthHeightFormats="0"/>
</file>

<file path=xl/queryTables/queryTable3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Rozpočet1_42" connectionId="32" xr16:uid="{00000000-0016-0000-0200-000011000000}" autoFormatId="16" applyNumberFormats="0" applyBorderFormats="0" applyFontFormats="1" applyPatternFormats="1" applyAlignmentFormats="0" applyWidthHeightFormats="0"/>
</file>

<file path=xl/queryTables/queryTable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Rozpočet1_109" connectionId="27" xr16:uid="{00000000-0016-0000-0100-00000D000000}" autoFormatId="16" applyNumberFormats="0" applyBorderFormats="0" applyFontFormats="1" applyPatternFormats="1" applyAlignmentFormats="0" applyWidthHeightFormats="0"/>
</file>

<file path=xl/queryTables/queryTable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Rozpočet1_101" connectionId="8" xr16:uid="{00000000-0016-0000-0100-00000C000000}" autoFormatId="16" applyNumberFormats="0" applyBorderFormats="0" applyFontFormats="1" applyPatternFormats="1" applyAlignmentFormats="0" applyWidthHeightFormats="0"/>
</file>

<file path=xl/queryTables/queryTable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Rozpočet1_120" connectionId="2" xr16:uid="{00000000-0016-0000-0100-00000B000000}" autoFormatId="16" applyNumberFormats="0" applyBorderFormats="0" applyFontFormats="1" applyPatternFormats="1" applyAlignmentFormats="0" applyWidthHeightFormats="0"/>
</file>

<file path=xl/queryTables/queryTable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Rozpočet1_127" connectionId="17" xr16:uid="{00000000-0016-0000-0100-00000A000000}" autoFormatId="16" applyNumberFormats="0" applyBorderFormats="0" applyFontFormats="1" applyPatternFormats="1" applyAlignmentFormats="0" applyWidthHeightFormats="0"/>
</file>

<file path=xl/queryTables/queryTable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Rozpočet1_100" connectionId="13" xr16:uid="{00000000-0016-0000-0100-000009000000}" autoFormatId="16" applyNumberFormats="0" applyBorderFormats="0" applyFontFormats="1" applyPatternFormats="1" applyAlignmentFormats="0" applyWidthHeightFormats="0"/>
</file>

<file path=xl/queryTables/queryTable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Rozpočet1_42" connectionId="31" xr16:uid="{00000000-0016-0000-0100-000008000000}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8" Type="http://schemas.openxmlformats.org/officeDocument/2006/relationships/queryTable" Target="../queryTables/queryTable23.xml"/><Relationship Id="rId13" Type="http://schemas.openxmlformats.org/officeDocument/2006/relationships/queryTable" Target="../queryTables/queryTable28.xml"/><Relationship Id="rId18" Type="http://schemas.openxmlformats.org/officeDocument/2006/relationships/queryTable" Target="../queryTables/queryTable33.xml"/><Relationship Id="rId3" Type="http://schemas.openxmlformats.org/officeDocument/2006/relationships/queryTable" Target="../queryTables/queryTable18.xml"/><Relationship Id="rId7" Type="http://schemas.openxmlformats.org/officeDocument/2006/relationships/queryTable" Target="../queryTables/queryTable22.xml"/><Relationship Id="rId12" Type="http://schemas.openxmlformats.org/officeDocument/2006/relationships/queryTable" Target="../queryTables/queryTable27.xml"/><Relationship Id="rId17" Type="http://schemas.openxmlformats.org/officeDocument/2006/relationships/queryTable" Target="../queryTables/queryTable32.xml"/><Relationship Id="rId2" Type="http://schemas.openxmlformats.org/officeDocument/2006/relationships/drawing" Target="../drawings/drawing12.xml"/><Relationship Id="rId16" Type="http://schemas.openxmlformats.org/officeDocument/2006/relationships/queryTable" Target="../queryTables/queryTable31.xml"/><Relationship Id="rId1" Type="http://schemas.openxmlformats.org/officeDocument/2006/relationships/printerSettings" Target="../printerSettings/printerSettings2.bin"/><Relationship Id="rId6" Type="http://schemas.openxmlformats.org/officeDocument/2006/relationships/queryTable" Target="../queryTables/queryTable21.xml"/><Relationship Id="rId11" Type="http://schemas.openxmlformats.org/officeDocument/2006/relationships/queryTable" Target="../queryTables/queryTable26.xml"/><Relationship Id="rId5" Type="http://schemas.openxmlformats.org/officeDocument/2006/relationships/queryTable" Target="../queryTables/queryTable20.xml"/><Relationship Id="rId15" Type="http://schemas.openxmlformats.org/officeDocument/2006/relationships/queryTable" Target="../queryTables/queryTable30.xml"/><Relationship Id="rId10" Type="http://schemas.openxmlformats.org/officeDocument/2006/relationships/queryTable" Target="../queryTables/queryTable25.xml"/><Relationship Id="rId19" Type="http://schemas.openxmlformats.org/officeDocument/2006/relationships/queryTable" Target="../queryTables/queryTable34.xml"/><Relationship Id="rId4" Type="http://schemas.openxmlformats.org/officeDocument/2006/relationships/queryTable" Target="../queryTables/queryTable19.xml"/><Relationship Id="rId9" Type="http://schemas.openxmlformats.org/officeDocument/2006/relationships/queryTable" Target="../queryTables/queryTable24.xml"/><Relationship Id="rId14" Type="http://schemas.openxmlformats.org/officeDocument/2006/relationships/queryTable" Target="../queryTables/queryTable29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queryTable" Target="../queryTables/queryTable6.xml"/><Relationship Id="rId13" Type="http://schemas.openxmlformats.org/officeDocument/2006/relationships/queryTable" Target="../queryTables/queryTable11.xml"/><Relationship Id="rId18" Type="http://schemas.openxmlformats.org/officeDocument/2006/relationships/queryTable" Target="../queryTables/queryTable16.xml"/><Relationship Id="rId3" Type="http://schemas.openxmlformats.org/officeDocument/2006/relationships/queryTable" Target="../queryTables/queryTable1.xml"/><Relationship Id="rId7" Type="http://schemas.openxmlformats.org/officeDocument/2006/relationships/queryTable" Target="../queryTables/queryTable5.xml"/><Relationship Id="rId12" Type="http://schemas.openxmlformats.org/officeDocument/2006/relationships/queryTable" Target="../queryTables/queryTable10.xml"/><Relationship Id="rId17" Type="http://schemas.openxmlformats.org/officeDocument/2006/relationships/queryTable" Target="../queryTables/queryTable15.xml"/><Relationship Id="rId2" Type="http://schemas.openxmlformats.org/officeDocument/2006/relationships/drawing" Target="../drawings/drawing6.xml"/><Relationship Id="rId16" Type="http://schemas.openxmlformats.org/officeDocument/2006/relationships/queryTable" Target="../queryTables/queryTable14.xml"/><Relationship Id="rId1" Type="http://schemas.openxmlformats.org/officeDocument/2006/relationships/printerSettings" Target="../printerSettings/printerSettings1.bin"/><Relationship Id="rId6" Type="http://schemas.openxmlformats.org/officeDocument/2006/relationships/queryTable" Target="../queryTables/queryTable4.xml"/><Relationship Id="rId11" Type="http://schemas.openxmlformats.org/officeDocument/2006/relationships/queryTable" Target="../queryTables/queryTable9.xml"/><Relationship Id="rId5" Type="http://schemas.openxmlformats.org/officeDocument/2006/relationships/queryTable" Target="../queryTables/queryTable3.xml"/><Relationship Id="rId15" Type="http://schemas.openxmlformats.org/officeDocument/2006/relationships/queryTable" Target="../queryTables/queryTable13.xml"/><Relationship Id="rId10" Type="http://schemas.openxmlformats.org/officeDocument/2006/relationships/queryTable" Target="../queryTables/queryTable8.xml"/><Relationship Id="rId19" Type="http://schemas.openxmlformats.org/officeDocument/2006/relationships/queryTable" Target="../queryTables/queryTable17.xml"/><Relationship Id="rId4" Type="http://schemas.openxmlformats.org/officeDocument/2006/relationships/queryTable" Target="../queryTables/queryTable2.xml"/><Relationship Id="rId9" Type="http://schemas.openxmlformats.org/officeDocument/2006/relationships/queryTable" Target="../queryTables/queryTable7.xml"/><Relationship Id="rId14" Type="http://schemas.openxmlformats.org/officeDocument/2006/relationships/queryTable" Target="../queryTables/queryTable12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9"/>
  <sheetViews>
    <sheetView showGridLines="0" tabSelected="1" workbookViewId="0">
      <selection activeCell="J95" sqref="J95:AF95"/>
    </sheetView>
  </sheetViews>
  <sheetFormatPr defaultRowHeight="11.2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>
      <c r="A1" s="14" t="s">
        <v>0</v>
      </c>
      <c r="AZ1" s="14" t="s">
        <v>1</v>
      </c>
      <c r="BA1" s="14" t="s">
        <v>2</v>
      </c>
      <c r="BB1" s="14" t="s">
        <v>1</v>
      </c>
      <c r="BT1" s="14" t="s">
        <v>3</v>
      </c>
      <c r="BU1" s="14" t="s">
        <v>3</v>
      </c>
      <c r="BV1" s="14" t="s">
        <v>4</v>
      </c>
    </row>
    <row r="2" spans="1:74" ht="36.950000000000003" customHeight="1">
      <c r="AR2" s="269" t="s">
        <v>5</v>
      </c>
      <c r="AS2" s="250"/>
      <c r="AT2" s="250"/>
      <c r="AU2" s="250"/>
      <c r="AV2" s="250"/>
      <c r="AW2" s="250"/>
      <c r="AX2" s="250"/>
      <c r="AY2" s="250"/>
      <c r="AZ2" s="250"/>
      <c r="BA2" s="250"/>
      <c r="BB2" s="250"/>
      <c r="BC2" s="250"/>
      <c r="BD2" s="250"/>
      <c r="BE2" s="250"/>
      <c r="BS2" s="15" t="s">
        <v>6</v>
      </c>
      <c r="BT2" s="15" t="s">
        <v>7</v>
      </c>
    </row>
    <row r="3" spans="1:74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pans="1:74" ht="24.95" customHeight="1">
      <c r="B4" s="18"/>
      <c r="D4" s="19" t="s">
        <v>9</v>
      </c>
      <c r="AR4" s="18"/>
      <c r="AS4" s="20" t="s">
        <v>10</v>
      </c>
      <c r="BS4" s="15" t="s">
        <v>11</v>
      </c>
    </row>
    <row r="5" spans="1:74" ht="12" customHeight="1">
      <c r="B5" s="18"/>
      <c r="D5" s="21" t="s">
        <v>12</v>
      </c>
      <c r="K5" s="249" t="s">
        <v>13</v>
      </c>
      <c r="L5" s="250"/>
      <c r="M5" s="250"/>
      <c r="N5" s="250"/>
      <c r="O5" s="250"/>
      <c r="P5" s="250"/>
      <c r="Q5" s="250"/>
      <c r="R5" s="250"/>
      <c r="S5" s="250"/>
      <c r="T5" s="250"/>
      <c r="U5" s="250"/>
      <c r="V5" s="250"/>
      <c r="W5" s="250"/>
      <c r="X5" s="250"/>
      <c r="Y5" s="250"/>
      <c r="Z5" s="250"/>
      <c r="AA5" s="250"/>
      <c r="AB5" s="250"/>
      <c r="AC5" s="250"/>
      <c r="AD5" s="250"/>
      <c r="AE5" s="250"/>
      <c r="AF5" s="250"/>
      <c r="AG5" s="250"/>
      <c r="AH5" s="250"/>
      <c r="AI5" s="250"/>
      <c r="AJ5" s="250"/>
      <c r="AK5" s="250"/>
      <c r="AL5" s="250"/>
      <c r="AM5" s="250"/>
      <c r="AN5" s="250"/>
      <c r="AO5" s="250"/>
      <c r="AR5" s="18"/>
      <c r="BS5" s="15" t="s">
        <v>6</v>
      </c>
    </row>
    <row r="6" spans="1:74" ht="36.950000000000003" customHeight="1">
      <c r="B6" s="18"/>
      <c r="D6" s="23" t="s">
        <v>14</v>
      </c>
      <c r="K6" s="251" t="s">
        <v>15</v>
      </c>
      <c r="L6" s="250"/>
      <c r="M6" s="250"/>
      <c r="N6" s="250"/>
      <c r="O6" s="250"/>
      <c r="P6" s="250"/>
      <c r="Q6" s="250"/>
      <c r="R6" s="250"/>
      <c r="S6" s="250"/>
      <c r="T6" s="250"/>
      <c r="U6" s="250"/>
      <c r="V6" s="250"/>
      <c r="W6" s="250"/>
      <c r="X6" s="250"/>
      <c r="Y6" s="250"/>
      <c r="Z6" s="250"/>
      <c r="AA6" s="250"/>
      <c r="AB6" s="250"/>
      <c r="AC6" s="250"/>
      <c r="AD6" s="250"/>
      <c r="AE6" s="250"/>
      <c r="AF6" s="250"/>
      <c r="AG6" s="250"/>
      <c r="AH6" s="250"/>
      <c r="AI6" s="250"/>
      <c r="AJ6" s="250"/>
      <c r="AK6" s="250"/>
      <c r="AL6" s="250"/>
      <c r="AM6" s="250"/>
      <c r="AN6" s="250"/>
      <c r="AO6" s="250"/>
      <c r="AR6" s="18"/>
      <c r="BS6" s="15" t="s">
        <v>6</v>
      </c>
    </row>
    <row r="7" spans="1:74" ht="12" customHeight="1">
      <c r="B7" s="18"/>
      <c r="D7" s="24" t="s">
        <v>16</v>
      </c>
      <c r="K7" s="22" t="s">
        <v>1</v>
      </c>
      <c r="AK7" s="24" t="s">
        <v>17</v>
      </c>
      <c r="AN7" s="22" t="s">
        <v>1</v>
      </c>
      <c r="AR7" s="18"/>
      <c r="BS7" s="15" t="s">
        <v>6</v>
      </c>
    </row>
    <row r="8" spans="1:74" ht="12" customHeight="1">
      <c r="B8" s="18"/>
      <c r="D8" s="24" t="s">
        <v>18</v>
      </c>
      <c r="K8" s="22" t="s">
        <v>19</v>
      </c>
      <c r="AK8" s="24" t="s">
        <v>20</v>
      </c>
      <c r="AN8" s="165">
        <v>44910</v>
      </c>
      <c r="AR8" s="18"/>
      <c r="BS8" s="15" t="s">
        <v>6</v>
      </c>
    </row>
    <row r="9" spans="1:74" ht="14.45" customHeight="1">
      <c r="B9" s="18"/>
      <c r="AR9" s="18"/>
      <c r="BS9" s="15" t="s">
        <v>6</v>
      </c>
    </row>
    <row r="10" spans="1:74" ht="12" customHeight="1">
      <c r="B10" s="18"/>
      <c r="D10" s="24" t="s">
        <v>21</v>
      </c>
      <c r="AK10" s="24" t="s">
        <v>22</v>
      </c>
      <c r="AN10" s="22" t="s">
        <v>1</v>
      </c>
      <c r="AR10" s="18"/>
      <c r="BS10" s="15" t="s">
        <v>6</v>
      </c>
    </row>
    <row r="11" spans="1:74" ht="18.399999999999999" customHeight="1">
      <c r="B11" s="18"/>
      <c r="E11" s="22" t="s">
        <v>23</v>
      </c>
      <c r="AK11" s="24" t="s">
        <v>24</v>
      </c>
      <c r="AN11" s="22" t="s">
        <v>1</v>
      </c>
      <c r="AR11" s="18"/>
      <c r="BS11" s="15" t="s">
        <v>6</v>
      </c>
    </row>
    <row r="12" spans="1:74" ht="6.95" customHeight="1">
      <c r="B12" s="18"/>
      <c r="AR12" s="18"/>
      <c r="BS12" s="15" t="s">
        <v>6</v>
      </c>
    </row>
    <row r="13" spans="1:74" ht="12" customHeight="1">
      <c r="B13" s="18"/>
      <c r="D13" s="24" t="s">
        <v>25</v>
      </c>
      <c r="AK13" s="24" t="s">
        <v>22</v>
      </c>
      <c r="AN13" s="22" t="s">
        <v>1</v>
      </c>
      <c r="AR13" s="18"/>
      <c r="BS13" s="15" t="s">
        <v>6</v>
      </c>
    </row>
    <row r="14" spans="1:74" ht="12.75">
      <c r="B14" s="18"/>
      <c r="E14" s="22" t="s">
        <v>26</v>
      </c>
      <c r="AK14" s="24" t="s">
        <v>24</v>
      </c>
      <c r="AN14" s="22" t="s">
        <v>1</v>
      </c>
      <c r="AR14" s="18"/>
      <c r="BS14" s="15" t="s">
        <v>6</v>
      </c>
    </row>
    <row r="15" spans="1:74" ht="6.95" customHeight="1">
      <c r="B15" s="18"/>
      <c r="AR15" s="18"/>
      <c r="BS15" s="15" t="s">
        <v>3</v>
      </c>
    </row>
    <row r="16" spans="1:74" ht="12" customHeight="1">
      <c r="B16" s="18"/>
      <c r="D16" s="24" t="s">
        <v>27</v>
      </c>
      <c r="AK16" s="24" t="s">
        <v>22</v>
      </c>
      <c r="AN16" s="22" t="s">
        <v>1</v>
      </c>
      <c r="AR16" s="18"/>
      <c r="BS16" s="15" t="s">
        <v>3</v>
      </c>
    </row>
    <row r="17" spans="2:71" ht="18.399999999999999" customHeight="1">
      <c r="B17" s="18"/>
      <c r="E17" s="22" t="s">
        <v>28</v>
      </c>
      <c r="AK17" s="24" t="s">
        <v>24</v>
      </c>
      <c r="AN17" s="22" t="s">
        <v>1</v>
      </c>
      <c r="AR17" s="18"/>
      <c r="BS17" s="15" t="s">
        <v>29</v>
      </c>
    </row>
    <row r="18" spans="2:71" ht="6.95" customHeight="1">
      <c r="B18" s="18"/>
      <c r="AR18" s="18"/>
      <c r="BS18" s="15" t="s">
        <v>6</v>
      </c>
    </row>
    <row r="19" spans="2:71" ht="12" customHeight="1">
      <c r="B19" s="18"/>
      <c r="D19" s="24" t="s">
        <v>30</v>
      </c>
      <c r="AK19" s="24" t="s">
        <v>22</v>
      </c>
      <c r="AN19" s="22" t="s">
        <v>1</v>
      </c>
      <c r="AR19" s="18"/>
      <c r="BS19" s="15" t="s">
        <v>6</v>
      </c>
    </row>
    <row r="20" spans="2:71" ht="18.399999999999999" customHeight="1">
      <c r="B20" s="18"/>
      <c r="E20" s="22" t="s">
        <v>31</v>
      </c>
      <c r="AK20" s="24" t="s">
        <v>24</v>
      </c>
      <c r="AN20" s="22" t="s">
        <v>1</v>
      </c>
      <c r="AR20" s="18"/>
      <c r="BS20" s="15" t="s">
        <v>29</v>
      </c>
    </row>
    <row r="21" spans="2:71" ht="6.95" customHeight="1">
      <c r="B21" s="18"/>
      <c r="AR21" s="18"/>
    </row>
    <row r="22" spans="2:71" ht="12" customHeight="1">
      <c r="B22" s="18"/>
      <c r="D22" s="24" t="s">
        <v>32</v>
      </c>
      <c r="AR22" s="18"/>
    </row>
    <row r="23" spans="2:71" ht="16.5" customHeight="1">
      <c r="B23" s="18"/>
      <c r="E23" s="252" t="s">
        <v>1</v>
      </c>
      <c r="F23" s="252"/>
      <c r="G23" s="252"/>
      <c r="H23" s="252"/>
      <c r="I23" s="252"/>
      <c r="J23" s="252"/>
      <c r="K23" s="252"/>
      <c r="L23" s="252"/>
      <c r="M23" s="252"/>
      <c r="N23" s="252"/>
      <c r="O23" s="252"/>
      <c r="P23" s="252"/>
      <c r="Q23" s="252"/>
      <c r="R23" s="252"/>
      <c r="S23" s="252"/>
      <c r="T23" s="252"/>
      <c r="U23" s="252"/>
      <c r="V23" s="252"/>
      <c r="W23" s="252"/>
      <c r="X23" s="252"/>
      <c r="Y23" s="252"/>
      <c r="Z23" s="252"/>
      <c r="AA23" s="252"/>
      <c r="AB23" s="252"/>
      <c r="AC23" s="252"/>
      <c r="AD23" s="252"/>
      <c r="AE23" s="252"/>
      <c r="AF23" s="252"/>
      <c r="AG23" s="252"/>
      <c r="AH23" s="252"/>
      <c r="AI23" s="252"/>
      <c r="AJ23" s="252"/>
      <c r="AK23" s="252"/>
      <c r="AL23" s="252"/>
      <c r="AM23" s="252"/>
      <c r="AN23" s="252"/>
      <c r="AR23" s="18"/>
    </row>
    <row r="24" spans="2:71" ht="6.95" customHeight="1">
      <c r="B24" s="18"/>
      <c r="AR24" s="18"/>
    </row>
    <row r="25" spans="2:71" ht="6.95" customHeight="1">
      <c r="B25" s="18"/>
      <c r="D25" s="26"/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6"/>
      <c r="AK25" s="26"/>
      <c r="AL25" s="26"/>
      <c r="AM25" s="26"/>
      <c r="AN25" s="26"/>
      <c r="AO25" s="26"/>
      <c r="AR25" s="18"/>
    </row>
    <row r="26" spans="2:71" s="1" customFormat="1" ht="25.9" customHeight="1">
      <c r="B26" s="27"/>
      <c r="D26" s="28" t="s">
        <v>33</v>
      </c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  <c r="AF26" s="29"/>
      <c r="AG26" s="29"/>
      <c r="AH26" s="29"/>
      <c r="AI26" s="29"/>
      <c r="AJ26" s="29"/>
      <c r="AK26" s="253">
        <f>ROUND(AG94,2)</f>
        <v>116292996.95</v>
      </c>
      <c r="AL26" s="254"/>
      <c r="AM26" s="254"/>
      <c r="AN26" s="254"/>
      <c r="AO26" s="254"/>
      <c r="AR26" s="27"/>
    </row>
    <row r="27" spans="2:71" s="1" customFormat="1" ht="6.95" customHeight="1">
      <c r="B27" s="27"/>
      <c r="AR27" s="27"/>
    </row>
    <row r="28" spans="2:71" s="1" customFormat="1" ht="12.75">
      <c r="B28" s="27"/>
      <c r="L28" s="255" t="s">
        <v>34</v>
      </c>
      <c r="M28" s="255"/>
      <c r="N28" s="255"/>
      <c r="O28" s="255"/>
      <c r="P28" s="255"/>
      <c r="W28" s="255" t="s">
        <v>35</v>
      </c>
      <c r="X28" s="255"/>
      <c r="Y28" s="255"/>
      <c r="Z28" s="255"/>
      <c r="AA28" s="255"/>
      <c r="AB28" s="255"/>
      <c r="AC28" s="255"/>
      <c r="AD28" s="255"/>
      <c r="AE28" s="255"/>
      <c r="AK28" s="255" t="s">
        <v>36</v>
      </c>
      <c r="AL28" s="255"/>
      <c r="AM28" s="255"/>
      <c r="AN28" s="255"/>
      <c r="AO28" s="255"/>
      <c r="AR28" s="27"/>
    </row>
    <row r="29" spans="2:71" s="2" customFormat="1" ht="14.45" customHeight="1">
      <c r="B29" s="31"/>
      <c r="D29" s="24" t="s">
        <v>37</v>
      </c>
      <c r="F29" s="24" t="s">
        <v>38</v>
      </c>
      <c r="L29" s="258">
        <v>0.21</v>
      </c>
      <c r="M29" s="257"/>
      <c r="N29" s="257"/>
      <c r="O29" s="257"/>
      <c r="P29" s="257"/>
      <c r="W29" s="256">
        <f>ROUND(AZ94, 2)</f>
        <v>0</v>
      </c>
      <c r="X29" s="257"/>
      <c r="Y29" s="257"/>
      <c r="Z29" s="257"/>
      <c r="AA29" s="257"/>
      <c r="AB29" s="257"/>
      <c r="AC29" s="257"/>
      <c r="AD29" s="257"/>
      <c r="AE29" s="257"/>
      <c r="AK29" s="256">
        <f>ROUND(AV94, 2)</f>
        <v>0</v>
      </c>
      <c r="AL29" s="257"/>
      <c r="AM29" s="257"/>
      <c r="AN29" s="257"/>
      <c r="AO29" s="257"/>
      <c r="AR29" s="31"/>
    </row>
    <row r="30" spans="2:71" s="2" customFormat="1" ht="14.45" customHeight="1">
      <c r="B30" s="31"/>
      <c r="F30" s="24" t="s">
        <v>39</v>
      </c>
      <c r="L30" s="258">
        <v>0.15</v>
      </c>
      <c r="M30" s="257"/>
      <c r="N30" s="257"/>
      <c r="O30" s="257"/>
      <c r="P30" s="257"/>
      <c r="W30" s="256">
        <f>ROUND(BA94, 2)</f>
        <v>116292996.95</v>
      </c>
      <c r="X30" s="257"/>
      <c r="Y30" s="257"/>
      <c r="Z30" s="257"/>
      <c r="AA30" s="257"/>
      <c r="AB30" s="257"/>
      <c r="AC30" s="257"/>
      <c r="AD30" s="257"/>
      <c r="AE30" s="257"/>
      <c r="AK30" s="256">
        <f>ROUND(AW94, 2)</f>
        <v>17443949.539999999</v>
      </c>
      <c r="AL30" s="257"/>
      <c r="AM30" s="257"/>
      <c r="AN30" s="257"/>
      <c r="AO30" s="257"/>
      <c r="AR30" s="31"/>
    </row>
    <row r="31" spans="2:71" s="2" customFormat="1" ht="14.45" hidden="1" customHeight="1">
      <c r="B31" s="31"/>
      <c r="F31" s="24" t="s">
        <v>40</v>
      </c>
      <c r="L31" s="258">
        <v>0.21</v>
      </c>
      <c r="M31" s="257"/>
      <c r="N31" s="257"/>
      <c r="O31" s="257"/>
      <c r="P31" s="257"/>
      <c r="W31" s="256">
        <f>ROUND(BB94, 2)</f>
        <v>0</v>
      </c>
      <c r="X31" s="257"/>
      <c r="Y31" s="257"/>
      <c r="Z31" s="257"/>
      <c r="AA31" s="257"/>
      <c r="AB31" s="257"/>
      <c r="AC31" s="257"/>
      <c r="AD31" s="257"/>
      <c r="AE31" s="257"/>
      <c r="AK31" s="256">
        <v>0</v>
      </c>
      <c r="AL31" s="257"/>
      <c r="AM31" s="257"/>
      <c r="AN31" s="257"/>
      <c r="AO31" s="257"/>
      <c r="AR31" s="31"/>
    </row>
    <row r="32" spans="2:71" s="2" customFormat="1" ht="14.45" hidden="1" customHeight="1">
      <c r="B32" s="31"/>
      <c r="F32" s="24" t="s">
        <v>41</v>
      </c>
      <c r="L32" s="258">
        <v>0.15</v>
      </c>
      <c r="M32" s="257"/>
      <c r="N32" s="257"/>
      <c r="O32" s="257"/>
      <c r="P32" s="257"/>
      <c r="W32" s="256">
        <f>ROUND(BC94, 2)</f>
        <v>0</v>
      </c>
      <c r="X32" s="257"/>
      <c r="Y32" s="257"/>
      <c r="Z32" s="257"/>
      <c r="AA32" s="257"/>
      <c r="AB32" s="257"/>
      <c r="AC32" s="257"/>
      <c r="AD32" s="257"/>
      <c r="AE32" s="257"/>
      <c r="AK32" s="256">
        <v>0</v>
      </c>
      <c r="AL32" s="257"/>
      <c r="AM32" s="257"/>
      <c r="AN32" s="257"/>
      <c r="AO32" s="257"/>
      <c r="AR32" s="31"/>
    </row>
    <row r="33" spans="2:44" s="2" customFormat="1" ht="14.45" hidden="1" customHeight="1">
      <c r="B33" s="31"/>
      <c r="F33" s="24" t="s">
        <v>42</v>
      </c>
      <c r="L33" s="258">
        <v>0</v>
      </c>
      <c r="M33" s="257"/>
      <c r="N33" s="257"/>
      <c r="O33" s="257"/>
      <c r="P33" s="257"/>
      <c r="W33" s="256">
        <f>ROUND(BD94, 2)</f>
        <v>0</v>
      </c>
      <c r="X33" s="257"/>
      <c r="Y33" s="257"/>
      <c r="Z33" s="257"/>
      <c r="AA33" s="257"/>
      <c r="AB33" s="257"/>
      <c r="AC33" s="257"/>
      <c r="AD33" s="257"/>
      <c r="AE33" s="257"/>
      <c r="AK33" s="256">
        <v>0</v>
      </c>
      <c r="AL33" s="257"/>
      <c r="AM33" s="257"/>
      <c r="AN33" s="257"/>
      <c r="AO33" s="257"/>
      <c r="AR33" s="31"/>
    </row>
    <row r="34" spans="2:44" s="1" customFormat="1" ht="6.95" customHeight="1">
      <c r="B34" s="27"/>
      <c r="AR34" s="27"/>
    </row>
    <row r="35" spans="2:44" s="1" customFormat="1" ht="25.9" customHeight="1">
      <c r="B35" s="27"/>
      <c r="C35" s="32"/>
      <c r="D35" s="33" t="s">
        <v>43</v>
      </c>
      <c r="E35" s="34"/>
      <c r="F35" s="34"/>
      <c r="G35" s="34"/>
      <c r="H35" s="34"/>
      <c r="I35" s="34"/>
      <c r="J35" s="34"/>
      <c r="K35" s="34"/>
      <c r="L35" s="34"/>
      <c r="M35" s="34"/>
      <c r="N35" s="34"/>
      <c r="O35" s="34"/>
      <c r="P35" s="34"/>
      <c r="Q35" s="34"/>
      <c r="R35" s="34"/>
      <c r="S35" s="34"/>
      <c r="T35" s="35" t="s">
        <v>44</v>
      </c>
      <c r="U35" s="34"/>
      <c r="V35" s="34"/>
      <c r="W35" s="34"/>
      <c r="X35" s="279" t="s">
        <v>45</v>
      </c>
      <c r="Y35" s="280"/>
      <c r="Z35" s="280"/>
      <c r="AA35" s="280"/>
      <c r="AB35" s="280"/>
      <c r="AC35" s="34"/>
      <c r="AD35" s="34"/>
      <c r="AE35" s="34"/>
      <c r="AF35" s="34"/>
      <c r="AG35" s="34"/>
      <c r="AH35" s="34"/>
      <c r="AI35" s="34"/>
      <c r="AJ35" s="34"/>
      <c r="AK35" s="281">
        <f>SUM(AK26:AK33)</f>
        <v>133736946.49000001</v>
      </c>
      <c r="AL35" s="280"/>
      <c r="AM35" s="280"/>
      <c r="AN35" s="280"/>
      <c r="AO35" s="282"/>
      <c r="AP35" s="32"/>
      <c r="AQ35" s="32"/>
      <c r="AR35" s="27"/>
    </row>
    <row r="36" spans="2:44" s="1" customFormat="1" ht="6.95" customHeight="1">
      <c r="B36" s="27"/>
      <c r="AR36" s="27"/>
    </row>
    <row r="37" spans="2:44" s="1" customFormat="1" ht="14.45" customHeight="1">
      <c r="B37" s="27"/>
      <c r="AR37" s="27"/>
    </row>
    <row r="38" spans="2:44" ht="14.45" customHeight="1">
      <c r="B38" s="18"/>
      <c r="AR38" s="18"/>
    </row>
    <row r="39" spans="2:44" ht="14.45" customHeight="1">
      <c r="B39" s="18"/>
      <c r="AR39" s="18"/>
    </row>
    <row r="40" spans="2:44" ht="14.45" customHeight="1">
      <c r="B40" s="18"/>
      <c r="AR40" s="18"/>
    </row>
    <row r="41" spans="2:44" ht="14.45" customHeight="1">
      <c r="B41" s="18"/>
      <c r="AR41" s="18"/>
    </row>
    <row r="42" spans="2:44" ht="14.45" customHeight="1">
      <c r="B42" s="18"/>
      <c r="AR42" s="18"/>
    </row>
    <row r="43" spans="2:44" ht="14.45" customHeight="1">
      <c r="B43" s="18"/>
      <c r="AR43" s="18"/>
    </row>
    <row r="44" spans="2:44" ht="14.45" customHeight="1">
      <c r="B44" s="18"/>
      <c r="AR44" s="18"/>
    </row>
    <row r="45" spans="2:44" ht="14.45" customHeight="1">
      <c r="B45" s="18"/>
      <c r="AR45" s="18"/>
    </row>
    <row r="46" spans="2:44" ht="14.45" customHeight="1">
      <c r="B46" s="18"/>
      <c r="AR46" s="18"/>
    </row>
    <row r="47" spans="2:44" ht="14.45" customHeight="1">
      <c r="B47" s="18"/>
      <c r="AR47" s="18"/>
    </row>
    <row r="48" spans="2:44" ht="14.45" customHeight="1">
      <c r="B48" s="18"/>
      <c r="AR48" s="18"/>
    </row>
    <row r="49" spans="2:44" s="1" customFormat="1" ht="14.45" customHeight="1">
      <c r="B49" s="27"/>
      <c r="D49" s="36" t="s">
        <v>46</v>
      </c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  <c r="AF49" s="37"/>
      <c r="AG49" s="37"/>
      <c r="AH49" s="36" t="s">
        <v>47</v>
      </c>
      <c r="AI49" s="37"/>
      <c r="AJ49" s="37"/>
      <c r="AK49" s="37"/>
      <c r="AL49" s="37"/>
      <c r="AM49" s="37"/>
      <c r="AN49" s="37"/>
      <c r="AO49" s="37"/>
      <c r="AR49" s="27"/>
    </row>
    <row r="50" spans="2:44">
      <c r="B50" s="18"/>
      <c r="AR50" s="18"/>
    </row>
    <row r="51" spans="2:44">
      <c r="B51" s="18"/>
      <c r="AR51" s="18"/>
    </row>
    <row r="52" spans="2:44">
      <c r="B52" s="18"/>
      <c r="AR52" s="18"/>
    </row>
    <row r="53" spans="2:44">
      <c r="B53" s="18"/>
      <c r="AR53" s="18"/>
    </row>
    <row r="54" spans="2:44">
      <c r="B54" s="18"/>
      <c r="AR54" s="18"/>
    </row>
    <row r="55" spans="2:44">
      <c r="B55" s="18"/>
      <c r="AR55" s="18"/>
    </row>
    <row r="56" spans="2:44">
      <c r="B56" s="18"/>
      <c r="AR56" s="18"/>
    </row>
    <row r="57" spans="2:44">
      <c r="B57" s="18"/>
      <c r="AR57" s="18"/>
    </row>
    <row r="58" spans="2:44">
      <c r="B58" s="18"/>
      <c r="AR58" s="18"/>
    </row>
    <row r="59" spans="2:44">
      <c r="B59" s="18"/>
      <c r="AR59" s="18"/>
    </row>
    <row r="60" spans="2:44" s="1" customFormat="1" ht="12.75">
      <c r="B60" s="27"/>
      <c r="D60" s="38" t="s">
        <v>48</v>
      </c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  <c r="P60" s="29"/>
      <c r="Q60" s="29"/>
      <c r="R60" s="29"/>
      <c r="S60" s="29"/>
      <c r="T60" s="29"/>
      <c r="U60" s="29"/>
      <c r="V60" s="38" t="s">
        <v>49</v>
      </c>
      <c r="W60" s="29"/>
      <c r="X60" s="29"/>
      <c r="Y60" s="29"/>
      <c r="Z60" s="29"/>
      <c r="AA60" s="29"/>
      <c r="AB60" s="29"/>
      <c r="AC60" s="29"/>
      <c r="AD60" s="29"/>
      <c r="AE60" s="29"/>
      <c r="AF60" s="29"/>
      <c r="AG60" s="29"/>
      <c r="AH60" s="38" t="s">
        <v>48</v>
      </c>
      <c r="AI60" s="29"/>
      <c r="AJ60" s="29"/>
      <c r="AK60" s="29"/>
      <c r="AL60" s="29"/>
      <c r="AM60" s="38" t="s">
        <v>49</v>
      </c>
      <c r="AN60" s="29"/>
      <c r="AO60" s="29"/>
      <c r="AR60" s="27"/>
    </row>
    <row r="61" spans="2:44">
      <c r="B61" s="18"/>
      <c r="AR61" s="18"/>
    </row>
    <row r="62" spans="2:44">
      <c r="B62" s="18"/>
      <c r="AR62" s="18"/>
    </row>
    <row r="63" spans="2:44">
      <c r="B63" s="18"/>
      <c r="AR63" s="18"/>
    </row>
    <row r="64" spans="2:44" s="1" customFormat="1" ht="12.75">
      <c r="B64" s="27"/>
      <c r="D64" s="36" t="s">
        <v>50</v>
      </c>
      <c r="E64" s="37"/>
      <c r="F64" s="37"/>
      <c r="G64" s="37"/>
      <c r="H64" s="37"/>
      <c r="I64" s="37"/>
      <c r="J64" s="37"/>
      <c r="K64" s="37"/>
      <c r="L64" s="37"/>
      <c r="M64" s="37"/>
      <c r="N64" s="37"/>
      <c r="O64" s="37"/>
      <c r="P64" s="37"/>
      <c r="Q64" s="37"/>
      <c r="R64" s="37"/>
      <c r="S64" s="37"/>
      <c r="T64" s="37"/>
      <c r="U64" s="37"/>
      <c r="V64" s="37"/>
      <c r="W64" s="37"/>
      <c r="X64" s="37"/>
      <c r="Y64" s="37"/>
      <c r="Z64" s="37"/>
      <c r="AA64" s="37"/>
      <c r="AB64" s="37"/>
      <c r="AC64" s="37"/>
      <c r="AD64" s="37"/>
      <c r="AE64" s="37"/>
      <c r="AF64" s="37"/>
      <c r="AG64" s="37"/>
      <c r="AH64" s="36" t="s">
        <v>51</v>
      </c>
      <c r="AI64" s="37"/>
      <c r="AJ64" s="37"/>
      <c r="AK64" s="37"/>
      <c r="AL64" s="37"/>
      <c r="AM64" s="37"/>
      <c r="AN64" s="37"/>
      <c r="AO64" s="37"/>
      <c r="AR64" s="27"/>
    </row>
    <row r="65" spans="2:44">
      <c r="B65" s="18"/>
      <c r="AR65" s="18"/>
    </row>
    <row r="66" spans="2:44">
      <c r="B66" s="18"/>
      <c r="AR66" s="18"/>
    </row>
    <row r="67" spans="2:44">
      <c r="B67" s="18"/>
      <c r="AR67" s="18"/>
    </row>
    <row r="68" spans="2:44">
      <c r="B68" s="18"/>
      <c r="AR68" s="18"/>
    </row>
    <row r="69" spans="2:44">
      <c r="B69" s="18"/>
      <c r="AR69" s="18"/>
    </row>
    <row r="70" spans="2:44">
      <c r="B70" s="18"/>
      <c r="AR70" s="18"/>
    </row>
    <row r="71" spans="2:44">
      <c r="B71" s="18"/>
      <c r="AR71" s="18"/>
    </row>
    <row r="72" spans="2:44">
      <c r="B72" s="18"/>
      <c r="AR72" s="18"/>
    </row>
    <row r="73" spans="2:44">
      <c r="B73" s="18"/>
      <c r="AR73" s="18"/>
    </row>
    <row r="74" spans="2:44">
      <c r="B74" s="18"/>
      <c r="AR74" s="18"/>
    </row>
    <row r="75" spans="2:44" s="1" customFormat="1" ht="12.75">
      <c r="B75" s="27"/>
      <c r="D75" s="38" t="s">
        <v>48</v>
      </c>
      <c r="E75" s="29"/>
      <c r="F75" s="29"/>
      <c r="G75" s="29"/>
      <c r="H75" s="29"/>
      <c r="I75" s="29"/>
      <c r="J75" s="29"/>
      <c r="K75" s="29"/>
      <c r="L75" s="29"/>
      <c r="M75" s="29"/>
      <c r="N75" s="29"/>
      <c r="O75" s="29"/>
      <c r="P75" s="29"/>
      <c r="Q75" s="29"/>
      <c r="R75" s="29"/>
      <c r="S75" s="29"/>
      <c r="T75" s="29"/>
      <c r="U75" s="29"/>
      <c r="V75" s="38" t="s">
        <v>49</v>
      </c>
      <c r="W75" s="29"/>
      <c r="X75" s="29"/>
      <c r="Y75" s="29"/>
      <c r="Z75" s="29"/>
      <c r="AA75" s="29"/>
      <c r="AB75" s="29"/>
      <c r="AC75" s="29"/>
      <c r="AD75" s="29"/>
      <c r="AE75" s="29"/>
      <c r="AF75" s="29"/>
      <c r="AG75" s="29"/>
      <c r="AH75" s="38" t="s">
        <v>48</v>
      </c>
      <c r="AI75" s="29"/>
      <c r="AJ75" s="29"/>
      <c r="AK75" s="29"/>
      <c r="AL75" s="29"/>
      <c r="AM75" s="38" t="s">
        <v>49</v>
      </c>
      <c r="AN75" s="29"/>
      <c r="AO75" s="29"/>
      <c r="AR75" s="27"/>
    </row>
    <row r="76" spans="2:44" s="1" customFormat="1">
      <c r="B76" s="27"/>
      <c r="AR76" s="27"/>
    </row>
    <row r="77" spans="2:44" s="1" customFormat="1" ht="6.95" customHeight="1"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40"/>
      <c r="M77" s="40"/>
      <c r="N77" s="40"/>
      <c r="O77" s="40"/>
      <c r="P77" s="40"/>
      <c r="Q77" s="40"/>
      <c r="R77" s="40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  <c r="AF77" s="40"/>
      <c r="AG77" s="40"/>
      <c r="AH77" s="40"/>
      <c r="AI77" s="40"/>
      <c r="AJ77" s="40"/>
      <c r="AK77" s="40"/>
      <c r="AL77" s="40"/>
      <c r="AM77" s="40"/>
      <c r="AN77" s="40"/>
      <c r="AO77" s="40"/>
      <c r="AP77" s="40"/>
      <c r="AQ77" s="40"/>
      <c r="AR77" s="27"/>
    </row>
    <row r="81" spans="1:91" s="1" customFormat="1" ht="6.95" customHeight="1"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42"/>
      <c r="M81" s="42"/>
      <c r="N81" s="42"/>
      <c r="O81" s="42"/>
      <c r="P81" s="42"/>
      <c r="Q81" s="42"/>
      <c r="R81" s="42"/>
      <c r="S81" s="42"/>
      <c r="T81" s="42"/>
      <c r="U81" s="42"/>
      <c r="V81" s="42"/>
      <c r="W81" s="42"/>
      <c r="X81" s="42"/>
      <c r="Y81" s="42"/>
      <c r="Z81" s="42"/>
      <c r="AA81" s="42"/>
      <c r="AB81" s="42"/>
      <c r="AC81" s="42"/>
      <c r="AD81" s="42"/>
      <c r="AE81" s="42"/>
      <c r="AF81" s="42"/>
      <c r="AG81" s="42"/>
      <c r="AH81" s="42"/>
      <c r="AI81" s="42"/>
      <c r="AJ81" s="42"/>
      <c r="AK81" s="42"/>
      <c r="AL81" s="42"/>
      <c r="AM81" s="42"/>
      <c r="AN81" s="42"/>
      <c r="AO81" s="42"/>
      <c r="AP81" s="42"/>
      <c r="AQ81" s="42"/>
      <c r="AR81" s="27"/>
    </row>
    <row r="82" spans="1:91" s="1" customFormat="1" ht="24.95" customHeight="1">
      <c r="B82" s="27"/>
      <c r="C82" s="19" t="s">
        <v>52</v>
      </c>
      <c r="AR82" s="27"/>
    </row>
    <row r="83" spans="1:91" s="1" customFormat="1" ht="6.95" customHeight="1">
      <c r="B83" s="27"/>
      <c r="AR83" s="27"/>
    </row>
    <row r="84" spans="1:91" s="3" customFormat="1" ht="12" customHeight="1">
      <c r="B84" s="43"/>
      <c r="C84" s="24" t="s">
        <v>12</v>
      </c>
      <c r="L84" s="3" t="str">
        <f>K5</f>
        <v>JICIN</v>
      </c>
      <c r="AR84" s="43"/>
    </row>
    <row r="85" spans="1:91" s="4" customFormat="1" ht="36.950000000000003" customHeight="1">
      <c r="B85" s="44"/>
      <c r="C85" s="45" t="s">
        <v>14</v>
      </c>
      <c r="L85" s="270" t="str">
        <f>K6</f>
        <v>Komunitní sociální služby DOZP</v>
      </c>
      <c r="M85" s="271"/>
      <c r="N85" s="271"/>
      <c r="O85" s="271"/>
      <c r="P85" s="271"/>
      <c r="Q85" s="271"/>
      <c r="R85" s="271"/>
      <c r="S85" s="271"/>
      <c r="T85" s="271"/>
      <c r="U85" s="271"/>
      <c r="V85" s="271"/>
      <c r="W85" s="271"/>
      <c r="X85" s="271"/>
      <c r="Y85" s="271"/>
      <c r="Z85" s="271"/>
      <c r="AA85" s="271"/>
      <c r="AB85" s="271"/>
      <c r="AC85" s="271"/>
      <c r="AD85" s="271"/>
      <c r="AE85" s="271"/>
      <c r="AF85" s="271"/>
      <c r="AG85" s="271"/>
      <c r="AH85" s="271"/>
      <c r="AI85" s="271"/>
      <c r="AJ85" s="271"/>
      <c r="AK85" s="271"/>
      <c r="AL85" s="271"/>
      <c r="AM85" s="271"/>
      <c r="AN85" s="271"/>
      <c r="AO85" s="271"/>
      <c r="AR85" s="44"/>
    </row>
    <row r="86" spans="1:91" s="1" customFormat="1" ht="6.95" customHeight="1">
      <c r="B86" s="27"/>
      <c r="AR86" s="27"/>
    </row>
    <row r="87" spans="1:91" s="1" customFormat="1" ht="12" customHeight="1">
      <c r="B87" s="27"/>
      <c r="C87" s="24" t="s">
        <v>18</v>
      </c>
      <c r="L87" s="46" t="str">
        <f>IF(K8="","",K8)</f>
        <v>Jičín parc. č.1628</v>
      </c>
      <c r="AI87" s="24" t="s">
        <v>20</v>
      </c>
      <c r="AM87" s="272">
        <f>IF(AN8= "","",AN8)</f>
        <v>44910</v>
      </c>
      <c r="AN87" s="272"/>
      <c r="AR87" s="27"/>
    </row>
    <row r="88" spans="1:91" s="1" customFormat="1" ht="6.95" customHeight="1">
      <c r="B88" s="27"/>
      <c r="AR88" s="27"/>
    </row>
    <row r="89" spans="1:91" s="1" customFormat="1" ht="15.2" customHeight="1">
      <c r="B89" s="27"/>
      <c r="C89" s="24" t="s">
        <v>21</v>
      </c>
      <c r="L89" s="3" t="str">
        <f>IF(E11= "","",E11)</f>
        <v>Královéhradecký kraj</v>
      </c>
      <c r="AI89" s="24" t="s">
        <v>27</v>
      </c>
      <c r="AM89" s="273" t="str">
        <f>IF(E17="","",E17)</f>
        <v>Ing.arch. Kušnierik</v>
      </c>
      <c r="AN89" s="274"/>
      <c r="AO89" s="274"/>
      <c r="AP89" s="274"/>
      <c r="AR89" s="27"/>
      <c r="AS89" s="275" t="s">
        <v>53</v>
      </c>
      <c r="AT89" s="276"/>
      <c r="AU89" s="48"/>
      <c r="AV89" s="48"/>
      <c r="AW89" s="48"/>
      <c r="AX89" s="48"/>
      <c r="AY89" s="48"/>
      <c r="AZ89" s="48"/>
      <c r="BA89" s="48"/>
      <c r="BB89" s="48"/>
      <c r="BC89" s="48"/>
      <c r="BD89" s="49"/>
    </row>
    <row r="90" spans="1:91" s="1" customFormat="1" ht="15.2" customHeight="1">
      <c r="B90" s="27"/>
      <c r="C90" s="24" t="s">
        <v>25</v>
      </c>
      <c r="L90" s="3" t="str">
        <f>IF(E14="","",E14)</f>
        <v>bude určen ve výběrovém řízení</v>
      </c>
      <c r="AI90" s="24" t="s">
        <v>30</v>
      </c>
      <c r="AM90" s="273" t="str">
        <f>IF(E20="","",E20)</f>
        <v>Ing.Pavel Michálek</v>
      </c>
      <c r="AN90" s="274"/>
      <c r="AO90" s="274"/>
      <c r="AP90" s="274"/>
      <c r="AR90" s="27"/>
      <c r="AS90" s="277"/>
      <c r="AT90" s="278"/>
      <c r="BD90" s="51"/>
    </row>
    <row r="91" spans="1:91" s="1" customFormat="1" ht="10.9" customHeight="1">
      <c r="B91" s="27"/>
      <c r="AR91" s="27"/>
      <c r="AS91" s="277"/>
      <c r="AT91" s="278"/>
      <c r="BD91" s="51"/>
    </row>
    <row r="92" spans="1:91" s="1" customFormat="1" ht="29.25" customHeight="1">
      <c r="B92" s="27"/>
      <c r="C92" s="262" t="s">
        <v>54</v>
      </c>
      <c r="D92" s="263"/>
      <c r="E92" s="263"/>
      <c r="F92" s="263"/>
      <c r="G92" s="263"/>
      <c r="H92" s="52"/>
      <c r="I92" s="264" t="s">
        <v>55</v>
      </c>
      <c r="J92" s="263"/>
      <c r="K92" s="263"/>
      <c r="L92" s="263"/>
      <c r="M92" s="263"/>
      <c r="N92" s="263"/>
      <c r="O92" s="263"/>
      <c r="P92" s="263"/>
      <c r="Q92" s="263"/>
      <c r="R92" s="263"/>
      <c r="S92" s="263"/>
      <c r="T92" s="263"/>
      <c r="U92" s="263"/>
      <c r="V92" s="263"/>
      <c r="W92" s="263"/>
      <c r="X92" s="263"/>
      <c r="Y92" s="263"/>
      <c r="Z92" s="263"/>
      <c r="AA92" s="263"/>
      <c r="AB92" s="263"/>
      <c r="AC92" s="263"/>
      <c r="AD92" s="263"/>
      <c r="AE92" s="263"/>
      <c r="AF92" s="263"/>
      <c r="AG92" s="265" t="s">
        <v>56</v>
      </c>
      <c r="AH92" s="263"/>
      <c r="AI92" s="263"/>
      <c r="AJ92" s="263"/>
      <c r="AK92" s="263"/>
      <c r="AL92" s="263"/>
      <c r="AM92" s="263"/>
      <c r="AN92" s="264" t="s">
        <v>57</v>
      </c>
      <c r="AO92" s="263"/>
      <c r="AP92" s="266"/>
      <c r="AQ92" s="53" t="s">
        <v>58</v>
      </c>
      <c r="AR92" s="27"/>
      <c r="AS92" s="54" t="s">
        <v>59</v>
      </c>
      <c r="AT92" s="55" t="s">
        <v>60</v>
      </c>
      <c r="AU92" s="55" t="s">
        <v>61</v>
      </c>
      <c r="AV92" s="55" t="s">
        <v>62</v>
      </c>
      <c r="AW92" s="55" t="s">
        <v>63</v>
      </c>
      <c r="AX92" s="55" t="s">
        <v>64</v>
      </c>
      <c r="AY92" s="55" t="s">
        <v>65</v>
      </c>
      <c r="AZ92" s="55" t="s">
        <v>66</v>
      </c>
      <c r="BA92" s="55" t="s">
        <v>67</v>
      </c>
      <c r="BB92" s="55" t="s">
        <v>68</v>
      </c>
      <c r="BC92" s="55" t="s">
        <v>69</v>
      </c>
      <c r="BD92" s="56" t="s">
        <v>70</v>
      </c>
    </row>
    <row r="93" spans="1:91" s="1" customFormat="1" ht="10.9" customHeight="1">
      <c r="B93" s="27"/>
      <c r="AR93" s="27"/>
      <c r="AS93" s="57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9"/>
    </row>
    <row r="94" spans="1:91" s="5" customFormat="1" ht="32.450000000000003" customHeight="1">
      <c r="B94" s="58"/>
      <c r="C94" s="59" t="s">
        <v>71</v>
      </c>
      <c r="D94" s="60"/>
      <c r="E94" s="60"/>
      <c r="F94" s="60"/>
      <c r="G94" s="60"/>
      <c r="H94" s="60"/>
      <c r="I94" s="60"/>
      <c r="J94" s="60"/>
      <c r="K94" s="60"/>
      <c r="L94" s="60"/>
      <c r="M94" s="60"/>
      <c r="N94" s="60"/>
      <c r="O94" s="60"/>
      <c r="P94" s="60"/>
      <c r="Q94" s="60"/>
      <c r="R94" s="60"/>
      <c r="S94" s="60"/>
      <c r="T94" s="60"/>
      <c r="U94" s="60"/>
      <c r="V94" s="60"/>
      <c r="W94" s="60"/>
      <c r="X94" s="60"/>
      <c r="Y94" s="60"/>
      <c r="Z94" s="60"/>
      <c r="AA94" s="60"/>
      <c r="AB94" s="60"/>
      <c r="AC94" s="60"/>
      <c r="AD94" s="60"/>
      <c r="AE94" s="60"/>
      <c r="AF94" s="60"/>
      <c r="AG94" s="267">
        <f>ROUND(SUM(AG95:AG97),2)</f>
        <v>116292996.95</v>
      </c>
      <c r="AH94" s="267"/>
      <c r="AI94" s="267"/>
      <c r="AJ94" s="267"/>
      <c r="AK94" s="267"/>
      <c r="AL94" s="267"/>
      <c r="AM94" s="267"/>
      <c r="AN94" s="268">
        <f>SUM(AG94,AT94)</f>
        <v>133736946.49000001</v>
      </c>
      <c r="AO94" s="268"/>
      <c r="AP94" s="268"/>
      <c r="AQ94" s="62" t="s">
        <v>1</v>
      </c>
      <c r="AR94" s="58"/>
      <c r="AS94" s="63">
        <f>ROUND(SUM(AS95:AS97),2)</f>
        <v>0</v>
      </c>
      <c r="AT94" s="64">
        <f>ROUND(SUM(AV94:AW94),2)</f>
        <v>17443949.539999999</v>
      </c>
      <c r="AU94" s="65">
        <f>ROUND(SUM(AU95:AU97),5)</f>
        <v>38868.008419999998</v>
      </c>
      <c r="AV94" s="64">
        <f>ROUND(AZ94*L29,2)</f>
        <v>0</v>
      </c>
      <c r="AW94" s="64">
        <f>ROUND(BA94*L30,2)</f>
        <v>17443949.539999999</v>
      </c>
      <c r="AX94" s="64">
        <f>ROUND(BB94*L29,2)</f>
        <v>0</v>
      </c>
      <c r="AY94" s="64">
        <f>ROUND(BC94*L30,2)</f>
        <v>0</v>
      </c>
      <c r="AZ94" s="64">
        <f>ROUND(SUM(AZ95:AZ97),2)</f>
        <v>0</v>
      </c>
      <c r="BA94" s="64">
        <f>ROUND(SUM(BA95:BA97),2)</f>
        <v>116292996.95</v>
      </c>
      <c r="BB94" s="64">
        <f>ROUND(SUM(BB95:BB97),2)</f>
        <v>0</v>
      </c>
      <c r="BC94" s="64">
        <f>ROUND(SUM(BC95:BC97),2)</f>
        <v>0</v>
      </c>
      <c r="BD94" s="66">
        <f>ROUND(SUM(BD95:BD97),2)</f>
        <v>0</v>
      </c>
      <c r="BS94" s="67" t="s">
        <v>72</v>
      </c>
      <c r="BT94" s="67" t="s">
        <v>73</v>
      </c>
      <c r="BU94" s="68" t="s">
        <v>74</v>
      </c>
      <c r="BV94" s="67" t="s">
        <v>75</v>
      </c>
      <c r="BW94" s="67" t="s">
        <v>4</v>
      </c>
      <c r="BX94" s="67" t="s">
        <v>76</v>
      </c>
      <c r="CL94" s="67" t="s">
        <v>1</v>
      </c>
    </row>
    <row r="95" spans="1:91" s="6" customFormat="1" ht="16.5" customHeight="1">
      <c r="A95" s="69" t="s">
        <v>77</v>
      </c>
      <c r="B95" s="70"/>
      <c r="C95" s="71"/>
      <c r="D95" s="261" t="s">
        <v>78</v>
      </c>
      <c r="E95" s="261"/>
      <c r="F95" s="261"/>
      <c r="G95" s="261"/>
      <c r="H95" s="261"/>
      <c r="I95" s="72"/>
      <c r="J95" s="261" t="s">
        <v>79</v>
      </c>
      <c r="K95" s="261"/>
      <c r="L95" s="261"/>
      <c r="M95" s="261"/>
      <c r="N95" s="261"/>
      <c r="O95" s="261"/>
      <c r="P95" s="261"/>
      <c r="Q95" s="261"/>
      <c r="R95" s="261"/>
      <c r="S95" s="261"/>
      <c r="T95" s="261"/>
      <c r="U95" s="261"/>
      <c r="V95" s="261"/>
      <c r="W95" s="261"/>
      <c r="X95" s="261"/>
      <c r="Y95" s="261"/>
      <c r="Z95" s="261"/>
      <c r="AA95" s="261"/>
      <c r="AB95" s="261"/>
      <c r="AC95" s="261"/>
      <c r="AD95" s="261"/>
      <c r="AE95" s="261"/>
      <c r="AF95" s="261"/>
      <c r="AG95" s="259">
        <f>'JC-A - Objekt A'!J30</f>
        <v>58140642.450000003</v>
      </c>
      <c r="AH95" s="260"/>
      <c r="AI95" s="260"/>
      <c r="AJ95" s="260"/>
      <c r="AK95" s="260"/>
      <c r="AL95" s="260"/>
      <c r="AM95" s="260"/>
      <c r="AN95" s="259">
        <f>SUM(AG95,AT95)</f>
        <v>66861738.82</v>
      </c>
      <c r="AO95" s="260"/>
      <c r="AP95" s="260"/>
      <c r="AQ95" s="73" t="s">
        <v>80</v>
      </c>
      <c r="AR95" s="70"/>
      <c r="AS95" s="74">
        <v>0</v>
      </c>
      <c r="AT95" s="75">
        <f>ROUND(SUM(AV95:AW95),2)</f>
        <v>8721096.3699999992</v>
      </c>
      <c r="AU95" s="76">
        <f>'JC-A - Objekt A'!P145</f>
        <v>19833.674821000001</v>
      </c>
      <c r="AV95" s="75">
        <f>'JC-A - Objekt A'!J33</f>
        <v>0</v>
      </c>
      <c r="AW95" s="75">
        <f>'JC-A - Objekt A'!J34</f>
        <v>8721096.3699999992</v>
      </c>
      <c r="AX95" s="75">
        <f>'JC-A - Objekt A'!J35</f>
        <v>0</v>
      </c>
      <c r="AY95" s="75">
        <f>'JC-A - Objekt A'!J36</f>
        <v>0</v>
      </c>
      <c r="AZ95" s="75">
        <f>'JC-A - Objekt A'!F33</f>
        <v>0</v>
      </c>
      <c r="BA95" s="75">
        <f>'JC-A - Objekt A'!F34</f>
        <v>58140642.450000003</v>
      </c>
      <c r="BB95" s="75">
        <f>'JC-A - Objekt A'!F35</f>
        <v>0</v>
      </c>
      <c r="BC95" s="75">
        <f>'JC-A - Objekt A'!F36</f>
        <v>0</v>
      </c>
      <c r="BD95" s="77">
        <f>'JC-A - Objekt A'!F37</f>
        <v>0</v>
      </c>
      <c r="BT95" s="78" t="s">
        <v>81</v>
      </c>
      <c r="BV95" s="78" t="s">
        <v>75</v>
      </c>
      <c r="BW95" s="78" t="s">
        <v>82</v>
      </c>
      <c r="BX95" s="78" t="s">
        <v>4</v>
      </c>
      <c r="CL95" s="78" t="s">
        <v>1</v>
      </c>
      <c r="CM95" s="78" t="s">
        <v>81</v>
      </c>
    </row>
    <row r="96" spans="1:91" s="6" customFormat="1" ht="16.5" customHeight="1">
      <c r="A96" s="69" t="s">
        <v>77</v>
      </c>
      <c r="B96" s="70"/>
      <c r="C96" s="71"/>
      <c r="D96" s="261" t="s">
        <v>83</v>
      </c>
      <c r="E96" s="261"/>
      <c r="F96" s="261"/>
      <c r="G96" s="261"/>
      <c r="H96" s="261"/>
      <c r="I96" s="72"/>
      <c r="J96" s="261" t="s">
        <v>84</v>
      </c>
      <c r="K96" s="261"/>
      <c r="L96" s="261"/>
      <c r="M96" s="261"/>
      <c r="N96" s="261"/>
      <c r="O96" s="261"/>
      <c r="P96" s="261"/>
      <c r="Q96" s="261"/>
      <c r="R96" s="261"/>
      <c r="S96" s="261"/>
      <c r="T96" s="261"/>
      <c r="U96" s="261"/>
      <c r="V96" s="261"/>
      <c r="W96" s="261"/>
      <c r="X96" s="261"/>
      <c r="Y96" s="261"/>
      <c r="Z96" s="261"/>
      <c r="AA96" s="261"/>
      <c r="AB96" s="261"/>
      <c r="AC96" s="261"/>
      <c r="AD96" s="261"/>
      <c r="AE96" s="261"/>
      <c r="AF96" s="261"/>
      <c r="AG96" s="259">
        <f>'JC-B - Objekt B'!J30</f>
        <v>52637604.100000001</v>
      </c>
      <c r="AH96" s="260"/>
      <c r="AI96" s="260"/>
      <c r="AJ96" s="260"/>
      <c r="AK96" s="260"/>
      <c r="AL96" s="260"/>
      <c r="AM96" s="260"/>
      <c r="AN96" s="259">
        <f>SUM(AG96,AT96)</f>
        <v>60533244.719999999</v>
      </c>
      <c r="AO96" s="260"/>
      <c r="AP96" s="260"/>
      <c r="AQ96" s="73" t="s">
        <v>80</v>
      </c>
      <c r="AR96" s="70"/>
      <c r="AS96" s="74">
        <v>0</v>
      </c>
      <c r="AT96" s="75">
        <f>ROUND(SUM(AV96:AW96),2)</f>
        <v>7895640.6200000001</v>
      </c>
      <c r="AU96" s="76">
        <f>'JC-B - Objekt B'!P145</f>
        <v>18281.083597000001</v>
      </c>
      <c r="AV96" s="75">
        <f>'JC-B - Objekt B'!J33</f>
        <v>0</v>
      </c>
      <c r="AW96" s="75">
        <f>'JC-B - Objekt B'!J34</f>
        <v>7895640.6200000001</v>
      </c>
      <c r="AX96" s="75">
        <f>'JC-B - Objekt B'!J35</f>
        <v>0</v>
      </c>
      <c r="AY96" s="75">
        <f>'JC-B - Objekt B'!J36</f>
        <v>0</v>
      </c>
      <c r="AZ96" s="75">
        <f>'JC-B - Objekt B'!F33</f>
        <v>0</v>
      </c>
      <c r="BA96" s="75">
        <f>'JC-B - Objekt B'!F34</f>
        <v>52637604.100000001</v>
      </c>
      <c r="BB96" s="75">
        <f>'JC-B - Objekt B'!F35</f>
        <v>0</v>
      </c>
      <c r="BC96" s="75">
        <f>'JC-B - Objekt B'!F36</f>
        <v>0</v>
      </c>
      <c r="BD96" s="77">
        <f>'JC-B - Objekt B'!F37</f>
        <v>0</v>
      </c>
      <c r="BT96" s="78" t="s">
        <v>81</v>
      </c>
      <c r="BV96" s="78" t="s">
        <v>75</v>
      </c>
      <c r="BW96" s="78" t="s">
        <v>85</v>
      </c>
      <c r="BX96" s="78" t="s">
        <v>4</v>
      </c>
      <c r="CL96" s="78" t="s">
        <v>1</v>
      </c>
      <c r="CM96" s="78" t="s">
        <v>81</v>
      </c>
    </row>
    <row r="97" spans="1:91" s="6" customFormat="1" ht="16.5" customHeight="1">
      <c r="A97" s="69" t="s">
        <v>77</v>
      </c>
      <c r="B97" s="70"/>
      <c r="C97" s="71"/>
      <c r="D97" s="261" t="s">
        <v>86</v>
      </c>
      <c r="E97" s="261"/>
      <c r="F97" s="261"/>
      <c r="G97" s="261"/>
      <c r="H97" s="261"/>
      <c r="I97" s="72"/>
      <c r="J97" s="261" t="s">
        <v>87</v>
      </c>
      <c r="K97" s="261"/>
      <c r="L97" s="261"/>
      <c r="M97" s="261"/>
      <c r="N97" s="261"/>
      <c r="O97" s="261"/>
      <c r="P97" s="261"/>
      <c r="Q97" s="261"/>
      <c r="R97" s="261"/>
      <c r="S97" s="261"/>
      <c r="T97" s="261"/>
      <c r="U97" s="261"/>
      <c r="V97" s="261"/>
      <c r="W97" s="261"/>
      <c r="X97" s="261"/>
      <c r="Y97" s="261"/>
      <c r="Z97" s="261"/>
      <c r="AA97" s="261"/>
      <c r="AB97" s="261"/>
      <c r="AC97" s="261"/>
      <c r="AD97" s="261"/>
      <c r="AE97" s="261"/>
      <c r="AF97" s="261"/>
      <c r="AG97" s="259">
        <f>'JC-C - SO-03-Zpevněné plochy'!J30</f>
        <v>5514750.4000000004</v>
      </c>
      <c r="AH97" s="260"/>
      <c r="AI97" s="260"/>
      <c r="AJ97" s="260"/>
      <c r="AK97" s="260"/>
      <c r="AL97" s="260"/>
      <c r="AM97" s="260"/>
      <c r="AN97" s="259">
        <f>SUM(AG97,AT97)</f>
        <v>6341962.9600000009</v>
      </c>
      <c r="AO97" s="260"/>
      <c r="AP97" s="260"/>
      <c r="AQ97" s="73" t="s">
        <v>80</v>
      </c>
      <c r="AR97" s="70"/>
      <c r="AS97" s="79">
        <v>0</v>
      </c>
      <c r="AT97" s="80">
        <f>ROUND(SUM(AV97:AW97),2)</f>
        <v>827212.56</v>
      </c>
      <c r="AU97" s="81">
        <f>'JC-C - SO-03-Zpevněné plochy'!P121</f>
        <v>753.25</v>
      </c>
      <c r="AV97" s="80">
        <f>'JC-C - SO-03-Zpevněné plochy'!J33</f>
        <v>0</v>
      </c>
      <c r="AW97" s="80">
        <f>'JC-C - SO-03-Zpevněné plochy'!J34</f>
        <v>827212.56</v>
      </c>
      <c r="AX97" s="80">
        <f>'JC-C - SO-03-Zpevněné plochy'!J35</f>
        <v>0</v>
      </c>
      <c r="AY97" s="80">
        <f>'JC-C - SO-03-Zpevněné plochy'!J36</f>
        <v>0</v>
      </c>
      <c r="AZ97" s="80">
        <f>'JC-C - SO-03-Zpevněné plochy'!F33</f>
        <v>0</v>
      </c>
      <c r="BA97" s="80">
        <f>'JC-C - SO-03-Zpevněné plochy'!F34</f>
        <v>5514750.4000000004</v>
      </c>
      <c r="BB97" s="80">
        <f>'JC-C - SO-03-Zpevněné plochy'!F35</f>
        <v>0</v>
      </c>
      <c r="BC97" s="80">
        <f>'JC-C - SO-03-Zpevněné plochy'!F36</f>
        <v>0</v>
      </c>
      <c r="BD97" s="82">
        <f>'JC-C - SO-03-Zpevněné plochy'!F37</f>
        <v>0</v>
      </c>
      <c r="BT97" s="78" t="s">
        <v>81</v>
      </c>
      <c r="BV97" s="78" t="s">
        <v>75</v>
      </c>
      <c r="BW97" s="78" t="s">
        <v>88</v>
      </c>
      <c r="BX97" s="78" t="s">
        <v>4</v>
      </c>
      <c r="CL97" s="78" t="s">
        <v>1</v>
      </c>
      <c r="CM97" s="78" t="s">
        <v>81</v>
      </c>
    </row>
    <row r="98" spans="1:91" s="1" customFormat="1" ht="30" customHeight="1">
      <c r="B98" s="27"/>
      <c r="AR98" s="27"/>
    </row>
    <row r="99" spans="1:91" s="1" customFormat="1" ht="6.95" customHeight="1">
      <c r="B99" s="39"/>
      <c r="C99" s="40"/>
      <c r="D99" s="40"/>
      <c r="E99" s="40"/>
      <c r="F99" s="40"/>
      <c r="G99" s="40"/>
      <c r="H99" s="40"/>
      <c r="I99" s="40"/>
      <c r="J99" s="40"/>
      <c r="K99" s="40"/>
      <c r="L99" s="40"/>
      <c r="M99" s="40"/>
      <c r="N99" s="40"/>
      <c r="O99" s="40"/>
      <c r="P99" s="40"/>
      <c r="Q99" s="40"/>
      <c r="R99" s="40"/>
      <c r="S99" s="40"/>
      <c r="T99" s="40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F99" s="40"/>
      <c r="AG99" s="40"/>
      <c r="AH99" s="40"/>
      <c r="AI99" s="40"/>
      <c r="AJ99" s="40"/>
      <c r="AK99" s="40"/>
      <c r="AL99" s="40"/>
      <c r="AM99" s="40"/>
      <c r="AN99" s="40"/>
      <c r="AO99" s="40"/>
      <c r="AP99" s="40"/>
      <c r="AQ99" s="40"/>
      <c r="AR99" s="27"/>
    </row>
  </sheetData>
  <mergeCells count="48">
    <mergeCell ref="AR2:BE2"/>
    <mergeCell ref="AN96:AP96"/>
    <mergeCell ref="AG96:AM96"/>
    <mergeCell ref="D96:H96"/>
    <mergeCell ref="J96:AF96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W31:AE31"/>
    <mergeCell ref="AN97:AP97"/>
    <mergeCell ref="AG97:AM97"/>
    <mergeCell ref="D97:H97"/>
    <mergeCell ref="J97:AF97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K31:AO31"/>
    <mergeCell ref="L31:P31"/>
    <mergeCell ref="W32:AE32"/>
    <mergeCell ref="AK32:AO32"/>
    <mergeCell ref="L32:P32"/>
    <mergeCell ref="W29:AE29"/>
    <mergeCell ref="AK29:AO29"/>
    <mergeCell ref="L29:P29"/>
    <mergeCell ref="W30:AE30"/>
    <mergeCell ref="AK30:AO30"/>
    <mergeCell ref="L30:P30"/>
    <mergeCell ref="K5:AO5"/>
    <mergeCell ref="K6:AO6"/>
    <mergeCell ref="E23:AN23"/>
    <mergeCell ref="AK26:AO26"/>
    <mergeCell ref="L28:P28"/>
    <mergeCell ref="W28:AE28"/>
    <mergeCell ref="AK28:AO28"/>
  </mergeCells>
  <hyperlinks>
    <hyperlink ref="A95" location="'JC-A - Objekt A'!C2" display="/" xr:uid="{00000000-0004-0000-0000-000000000000}"/>
    <hyperlink ref="A96" location="'JC-B - Objekt B'!C2" display="/" xr:uid="{00000000-0004-0000-0000-000001000000}"/>
    <hyperlink ref="A97" location="'JC-C - SO-03-Zpevněné plochy'!C2" display="/" xr:uid="{00000000-0004-0000-0000-000002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99C77D-B1A2-49E4-B083-B33DF262AA8A}">
  <sheetPr>
    <pageSetUpPr fitToPage="1"/>
  </sheetPr>
  <dimension ref="B2:BM218"/>
  <sheetViews>
    <sheetView showGridLines="0" workbookViewId="0"/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</cols>
  <sheetData>
    <row r="2" spans="2:46" ht="36.950000000000003" customHeight="1">
      <c r="L2" s="269" t="s">
        <v>5</v>
      </c>
      <c r="M2" s="250"/>
      <c r="N2" s="250"/>
      <c r="O2" s="250"/>
      <c r="P2" s="250"/>
      <c r="Q2" s="250"/>
      <c r="R2" s="250"/>
      <c r="S2" s="250"/>
      <c r="T2" s="250"/>
      <c r="U2" s="250"/>
      <c r="V2" s="250"/>
      <c r="AT2" s="15" t="s">
        <v>1560</v>
      </c>
    </row>
    <row r="3" spans="2:46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81</v>
      </c>
    </row>
    <row r="4" spans="2:46" ht="24.95" customHeight="1">
      <c r="B4" s="18"/>
      <c r="D4" s="19" t="s">
        <v>89</v>
      </c>
      <c r="L4" s="18"/>
      <c r="M4" s="83" t="s">
        <v>10</v>
      </c>
      <c r="AT4" s="15" t="s">
        <v>3</v>
      </c>
    </row>
    <row r="5" spans="2:46" ht="6.95" customHeight="1">
      <c r="B5" s="18"/>
      <c r="L5" s="18"/>
    </row>
    <row r="6" spans="2:46" ht="12" customHeight="1">
      <c r="B6" s="18"/>
      <c r="D6" s="24" t="s">
        <v>14</v>
      </c>
      <c r="L6" s="18"/>
    </row>
    <row r="7" spans="2:46" ht="26.25" customHeight="1">
      <c r="B7" s="18"/>
      <c r="E7" s="283" t="s">
        <v>2465</v>
      </c>
      <c r="F7" s="284"/>
      <c r="G7" s="284"/>
      <c r="H7" s="284"/>
      <c r="L7" s="18"/>
    </row>
    <row r="8" spans="2:46" s="1" customFormat="1" ht="12" customHeight="1">
      <c r="B8" s="27"/>
      <c r="D8" s="24" t="s">
        <v>90</v>
      </c>
      <c r="L8" s="27"/>
    </row>
    <row r="9" spans="2:46" s="1" customFormat="1" ht="16.5" customHeight="1">
      <c r="B9" s="27"/>
      <c r="E9" s="270" t="s">
        <v>1559</v>
      </c>
      <c r="F9" s="285"/>
      <c r="G9" s="285"/>
      <c r="H9" s="285"/>
      <c r="L9" s="27"/>
    </row>
    <row r="10" spans="2:46" s="1" customFormat="1">
      <c r="B10" s="27"/>
      <c r="L10" s="27"/>
    </row>
    <row r="11" spans="2:46" s="1" customFormat="1" ht="12" customHeight="1">
      <c r="B11" s="27"/>
      <c r="D11" s="24" t="s">
        <v>16</v>
      </c>
      <c r="F11" s="22" t="s">
        <v>1</v>
      </c>
      <c r="I11" s="24" t="s">
        <v>17</v>
      </c>
      <c r="J11" s="22" t="s">
        <v>1</v>
      </c>
      <c r="L11" s="27"/>
    </row>
    <row r="12" spans="2:46" s="1" customFormat="1" ht="12" customHeight="1">
      <c r="B12" s="27"/>
      <c r="D12" s="24" t="s">
        <v>18</v>
      </c>
      <c r="F12" s="22" t="s">
        <v>1514</v>
      </c>
      <c r="I12" s="24" t="s">
        <v>20</v>
      </c>
      <c r="J12" s="47" t="s">
        <v>2466</v>
      </c>
      <c r="L12" s="27"/>
    </row>
    <row r="13" spans="2:46" s="1" customFormat="1" ht="10.9" customHeight="1">
      <c r="B13" s="27"/>
      <c r="L13" s="27"/>
    </row>
    <row r="14" spans="2:46" s="1" customFormat="1" ht="12" customHeight="1">
      <c r="B14" s="27"/>
      <c r="D14" s="24" t="s">
        <v>21</v>
      </c>
      <c r="I14" s="24" t="s">
        <v>22</v>
      </c>
      <c r="J14" s="22" t="s">
        <v>1</v>
      </c>
      <c r="L14" s="27"/>
    </row>
    <row r="15" spans="2:46" s="1" customFormat="1" ht="18" customHeight="1">
      <c r="B15" s="27"/>
      <c r="E15" s="22" t="s">
        <v>2467</v>
      </c>
      <c r="I15" s="24" t="s">
        <v>24</v>
      </c>
      <c r="J15" s="22" t="s">
        <v>1</v>
      </c>
      <c r="L15" s="27"/>
    </row>
    <row r="16" spans="2:46" s="1" customFormat="1" ht="6.95" customHeight="1">
      <c r="B16" s="27"/>
      <c r="L16" s="27"/>
    </row>
    <row r="17" spans="2:12" s="1" customFormat="1" ht="12" customHeight="1">
      <c r="B17" s="27"/>
      <c r="D17" s="24" t="s">
        <v>25</v>
      </c>
      <c r="I17" s="24" t="s">
        <v>22</v>
      </c>
      <c r="J17" s="22" t="s">
        <v>1</v>
      </c>
      <c r="L17" s="27"/>
    </row>
    <row r="18" spans="2:12" s="1" customFormat="1" ht="18" customHeight="1">
      <c r="B18" s="27"/>
      <c r="E18" s="249" t="s">
        <v>2467</v>
      </c>
      <c r="F18" s="249"/>
      <c r="G18" s="249"/>
      <c r="H18" s="249"/>
      <c r="I18" s="24" t="s">
        <v>24</v>
      </c>
      <c r="J18" s="22" t="s">
        <v>1</v>
      </c>
      <c r="L18" s="27"/>
    </row>
    <row r="19" spans="2:12" s="1" customFormat="1" ht="6.95" customHeight="1">
      <c r="B19" s="27"/>
      <c r="L19" s="27"/>
    </row>
    <row r="20" spans="2:12" s="1" customFormat="1" ht="12" customHeight="1">
      <c r="B20" s="27"/>
      <c r="D20" s="24" t="s">
        <v>27</v>
      </c>
      <c r="I20" s="24" t="s">
        <v>22</v>
      </c>
      <c r="J20" s="22" t="s">
        <v>1</v>
      </c>
      <c r="L20" s="27"/>
    </row>
    <row r="21" spans="2:12" s="1" customFormat="1" ht="18" customHeight="1">
      <c r="B21" s="27"/>
      <c r="E21" s="22" t="s">
        <v>2467</v>
      </c>
      <c r="I21" s="24" t="s">
        <v>24</v>
      </c>
      <c r="J21" s="22" t="s">
        <v>1</v>
      </c>
      <c r="L21" s="27"/>
    </row>
    <row r="22" spans="2:12" s="1" customFormat="1" ht="6.95" customHeight="1">
      <c r="B22" s="27"/>
      <c r="L22" s="27"/>
    </row>
    <row r="23" spans="2:12" s="1" customFormat="1" ht="12" customHeight="1">
      <c r="B23" s="27"/>
      <c r="D23" s="24" t="s">
        <v>30</v>
      </c>
      <c r="I23" s="24" t="s">
        <v>22</v>
      </c>
      <c r="J23" s="22" t="s">
        <v>1</v>
      </c>
      <c r="L23" s="27"/>
    </row>
    <row r="24" spans="2:12" s="1" customFormat="1" ht="18" customHeight="1">
      <c r="B24" s="27"/>
      <c r="E24" s="22" t="s">
        <v>2467</v>
      </c>
      <c r="I24" s="24" t="s">
        <v>24</v>
      </c>
      <c r="J24" s="22" t="s">
        <v>1</v>
      </c>
      <c r="L24" s="27"/>
    </row>
    <row r="25" spans="2:12" s="1" customFormat="1" ht="6.95" customHeight="1">
      <c r="B25" s="27"/>
      <c r="L25" s="27"/>
    </row>
    <row r="26" spans="2:12" s="1" customFormat="1" ht="12" customHeight="1">
      <c r="B26" s="27"/>
      <c r="D26" s="24" t="s">
        <v>32</v>
      </c>
      <c r="L26" s="27"/>
    </row>
    <row r="27" spans="2:12" s="7" customFormat="1" ht="16.5" customHeight="1">
      <c r="B27" s="84"/>
      <c r="E27" s="252" t="s">
        <v>1</v>
      </c>
      <c r="F27" s="252"/>
      <c r="G27" s="252"/>
      <c r="H27" s="252"/>
      <c r="L27" s="84"/>
    </row>
    <row r="28" spans="2:12" s="1" customFormat="1" ht="6.95" customHeight="1">
      <c r="B28" s="27"/>
      <c r="L28" s="27"/>
    </row>
    <row r="29" spans="2:12" s="1" customFormat="1" ht="6.95" customHeight="1">
      <c r="B29" s="27"/>
      <c r="D29" s="48"/>
      <c r="E29" s="48"/>
      <c r="F29" s="48"/>
      <c r="G29" s="48"/>
      <c r="H29" s="48"/>
      <c r="I29" s="48"/>
      <c r="J29" s="48"/>
      <c r="K29" s="48"/>
      <c r="L29" s="27"/>
    </row>
    <row r="30" spans="2:12" s="1" customFormat="1" ht="25.35" customHeight="1">
      <c r="B30" s="27"/>
      <c r="D30" s="85" t="s">
        <v>33</v>
      </c>
      <c r="J30" s="61">
        <f>ROUND(J123, 2)</f>
        <v>2614978.13</v>
      </c>
      <c r="L30" s="27"/>
    </row>
    <row r="31" spans="2:12" s="1" customFormat="1" ht="6.95" customHeight="1">
      <c r="B31" s="27"/>
      <c r="D31" s="48"/>
      <c r="E31" s="48"/>
      <c r="F31" s="48"/>
      <c r="G31" s="48"/>
      <c r="H31" s="48"/>
      <c r="I31" s="48"/>
      <c r="J31" s="48"/>
      <c r="K31" s="48"/>
      <c r="L31" s="27"/>
    </row>
    <row r="32" spans="2:12" s="1" customFormat="1" ht="14.45" customHeight="1">
      <c r="B32" s="27"/>
      <c r="F32" s="30" t="s">
        <v>35</v>
      </c>
      <c r="I32" s="30" t="s">
        <v>34</v>
      </c>
      <c r="J32" s="30" t="s">
        <v>36</v>
      </c>
      <c r="L32" s="27"/>
    </row>
    <row r="33" spans="2:12" s="1" customFormat="1" ht="14.45" customHeight="1">
      <c r="B33" s="27"/>
      <c r="D33" s="50" t="s">
        <v>37</v>
      </c>
      <c r="E33" s="24" t="s">
        <v>38</v>
      </c>
      <c r="F33" s="86">
        <f>ROUND((SUM(BE123:BE217)),  2)</f>
        <v>0</v>
      </c>
      <c r="I33" s="87">
        <v>0.21</v>
      </c>
      <c r="J33" s="86">
        <f>ROUND(((SUM(BE123:BE217))*I33),  2)</f>
        <v>0</v>
      </c>
      <c r="L33" s="27"/>
    </row>
    <row r="34" spans="2:12" s="1" customFormat="1" ht="14.45" customHeight="1">
      <c r="B34" s="27"/>
      <c r="E34" s="24" t="s">
        <v>39</v>
      </c>
      <c r="F34" s="86">
        <f>ROUND((SUM(BF123:BF217)),  2)</f>
        <v>2614978.13</v>
      </c>
      <c r="I34" s="87">
        <v>0.15</v>
      </c>
      <c r="J34" s="86">
        <f>ROUND(((SUM(BF123:BF217))*I34),  2)</f>
        <v>392246.72</v>
      </c>
      <c r="L34" s="27"/>
    </row>
    <row r="35" spans="2:12" s="1" customFormat="1" ht="14.45" hidden="1" customHeight="1">
      <c r="B35" s="27"/>
      <c r="E35" s="24" t="s">
        <v>40</v>
      </c>
      <c r="F35" s="86">
        <f>ROUND((SUM(BG123:BG217)),  2)</f>
        <v>0</v>
      </c>
      <c r="I35" s="87">
        <v>0.21</v>
      </c>
      <c r="J35" s="86">
        <f>0</f>
        <v>0</v>
      </c>
      <c r="L35" s="27"/>
    </row>
    <row r="36" spans="2:12" s="1" customFormat="1" ht="14.45" hidden="1" customHeight="1">
      <c r="B36" s="27"/>
      <c r="E36" s="24" t="s">
        <v>41</v>
      </c>
      <c r="F36" s="86">
        <f>ROUND((SUM(BH123:BH217)),  2)</f>
        <v>0</v>
      </c>
      <c r="I36" s="87">
        <v>0.15</v>
      </c>
      <c r="J36" s="86">
        <f>0</f>
        <v>0</v>
      </c>
      <c r="L36" s="27"/>
    </row>
    <row r="37" spans="2:12" s="1" customFormat="1" ht="14.45" hidden="1" customHeight="1">
      <c r="B37" s="27"/>
      <c r="E37" s="24" t="s">
        <v>42</v>
      </c>
      <c r="F37" s="86">
        <f>ROUND((SUM(BI123:BI217)),  2)</f>
        <v>0</v>
      </c>
      <c r="I37" s="87">
        <v>0</v>
      </c>
      <c r="J37" s="86">
        <f>0</f>
        <v>0</v>
      </c>
      <c r="L37" s="27"/>
    </row>
    <row r="38" spans="2:12" s="1" customFormat="1" ht="6.95" customHeight="1">
      <c r="B38" s="27"/>
      <c r="L38" s="27"/>
    </row>
    <row r="39" spans="2:12" s="1" customFormat="1" ht="25.35" customHeight="1">
      <c r="B39" s="27"/>
      <c r="C39" s="88"/>
      <c r="D39" s="89" t="s">
        <v>43</v>
      </c>
      <c r="E39" s="52"/>
      <c r="F39" s="52"/>
      <c r="G39" s="90" t="s">
        <v>44</v>
      </c>
      <c r="H39" s="91" t="s">
        <v>45</v>
      </c>
      <c r="I39" s="52"/>
      <c r="J39" s="92">
        <f>SUM(J30:J37)</f>
        <v>3007224.8499999996</v>
      </c>
      <c r="K39" s="93"/>
      <c r="L39" s="27"/>
    </row>
    <row r="40" spans="2:12" s="1" customFormat="1" ht="14.45" customHeight="1">
      <c r="B40" s="27"/>
      <c r="L40" s="27"/>
    </row>
    <row r="41" spans="2:12" ht="14.45" customHeight="1">
      <c r="B41" s="18"/>
      <c r="L41" s="18"/>
    </row>
    <row r="42" spans="2:12" ht="14.45" customHeight="1">
      <c r="B42" s="18"/>
      <c r="L42" s="18"/>
    </row>
    <row r="43" spans="2:12" ht="14.45" customHeight="1">
      <c r="B43" s="18"/>
      <c r="L43" s="18"/>
    </row>
    <row r="44" spans="2:12" ht="14.45" customHeight="1">
      <c r="B44" s="18"/>
      <c r="L44" s="18"/>
    </row>
    <row r="45" spans="2:12" ht="14.45" customHeight="1">
      <c r="B45" s="18"/>
      <c r="L45" s="18"/>
    </row>
    <row r="46" spans="2:12" ht="14.45" customHeight="1">
      <c r="B46" s="18"/>
      <c r="L46" s="18"/>
    </row>
    <row r="47" spans="2:12" ht="14.45" customHeight="1">
      <c r="B47" s="18"/>
      <c r="L47" s="18"/>
    </row>
    <row r="48" spans="2:12" ht="14.45" customHeight="1">
      <c r="B48" s="18"/>
      <c r="L48" s="18"/>
    </row>
    <row r="49" spans="2:12" ht="14.45" customHeight="1">
      <c r="B49" s="18"/>
      <c r="L49" s="18"/>
    </row>
    <row r="50" spans="2:12" s="1" customFormat="1" ht="14.45" customHeight="1">
      <c r="B50" s="27"/>
      <c r="D50" s="36" t="s">
        <v>46</v>
      </c>
      <c r="E50" s="37"/>
      <c r="F50" s="37"/>
      <c r="G50" s="36" t="s">
        <v>47</v>
      </c>
      <c r="H50" s="37"/>
      <c r="I50" s="37"/>
      <c r="J50" s="37"/>
      <c r="K50" s="37"/>
      <c r="L50" s="27"/>
    </row>
    <row r="51" spans="2:12">
      <c r="B51" s="18"/>
      <c r="L51" s="18"/>
    </row>
    <row r="52" spans="2:12">
      <c r="B52" s="18"/>
      <c r="L52" s="18"/>
    </row>
    <row r="53" spans="2:12">
      <c r="B53" s="18"/>
      <c r="L53" s="18"/>
    </row>
    <row r="54" spans="2:12">
      <c r="B54" s="18"/>
      <c r="L54" s="18"/>
    </row>
    <row r="55" spans="2:12">
      <c r="B55" s="18"/>
      <c r="L55" s="18"/>
    </row>
    <row r="56" spans="2:12">
      <c r="B56" s="18"/>
      <c r="L56" s="18"/>
    </row>
    <row r="57" spans="2:12">
      <c r="B57" s="18"/>
      <c r="L57" s="18"/>
    </row>
    <row r="58" spans="2:12">
      <c r="B58" s="18"/>
      <c r="L58" s="18"/>
    </row>
    <row r="59" spans="2:12">
      <c r="B59" s="18"/>
      <c r="L59" s="18"/>
    </row>
    <row r="60" spans="2:12">
      <c r="B60" s="18"/>
      <c r="L60" s="18"/>
    </row>
    <row r="61" spans="2:12" s="1" customFormat="1" ht="12.75">
      <c r="B61" s="27"/>
      <c r="D61" s="38" t="s">
        <v>48</v>
      </c>
      <c r="E61" s="29"/>
      <c r="F61" s="94" t="s">
        <v>49</v>
      </c>
      <c r="G61" s="38" t="s">
        <v>48</v>
      </c>
      <c r="H61" s="29"/>
      <c r="I61" s="29"/>
      <c r="J61" s="95" t="s">
        <v>49</v>
      </c>
      <c r="K61" s="29"/>
      <c r="L61" s="27"/>
    </row>
    <row r="62" spans="2:12">
      <c r="B62" s="18"/>
      <c r="L62" s="18"/>
    </row>
    <row r="63" spans="2:12">
      <c r="B63" s="18"/>
      <c r="L63" s="18"/>
    </row>
    <row r="64" spans="2:12">
      <c r="B64" s="18"/>
      <c r="L64" s="18"/>
    </row>
    <row r="65" spans="2:12" s="1" customFormat="1" ht="12.75">
      <c r="B65" s="27"/>
      <c r="D65" s="36" t="s">
        <v>50</v>
      </c>
      <c r="E65" s="37"/>
      <c r="F65" s="37"/>
      <c r="G65" s="36" t="s">
        <v>51</v>
      </c>
      <c r="H65" s="37"/>
      <c r="I65" s="37"/>
      <c r="J65" s="37"/>
      <c r="K65" s="37"/>
      <c r="L65" s="27"/>
    </row>
    <row r="66" spans="2:12">
      <c r="B66" s="18"/>
      <c r="L66" s="18"/>
    </row>
    <row r="67" spans="2:12">
      <c r="B67" s="18"/>
      <c r="L67" s="18"/>
    </row>
    <row r="68" spans="2:12">
      <c r="B68" s="18"/>
      <c r="L68" s="18"/>
    </row>
    <row r="69" spans="2:12">
      <c r="B69" s="18"/>
      <c r="L69" s="18"/>
    </row>
    <row r="70" spans="2:12">
      <c r="B70" s="18"/>
      <c r="L70" s="18"/>
    </row>
    <row r="71" spans="2:12">
      <c r="B71" s="18"/>
      <c r="L71" s="18"/>
    </row>
    <row r="72" spans="2:12">
      <c r="B72" s="18"/>
      <c r="L72" s="18"/>
    </row>
    <row r="73" spans="2:12">
      <c r="B73" s="18"/>
      <c r="L73" s="18"/>
    </row>
    <row r="74" spans="2:12">
      <c r="B74" s="18"/>
      <c r="L74" s="18"/>
    </row>
    <row r="75" spans="2:12">
      <c r="B75" s="18"/>
      <c r="L75" s="18"/>
    </row>
    <row r="76" spans="2:12" s="1" customFormat="1" ht="12.75">
      <c r="B76" s="27"/>
      <c r="D76" s="38" t="s">
        <v>48</v>
      </c>
      <c r="E76" s="29"/>
      <c r="F76" s="94" t="s">
        <v>49</v>
      </c>
      <c r="G76" s="38" t="s">
        <v>48</v>
      </c>
      <c r="H76" s="29"/>
      <c r="I76" s="29"/>
      <c r="J76" s="95" t="s">
        <v>49</v>
      </c>
      <c r="K76" s="29"/>
      <c r="L76" s="27"/>
    </row>
    <row r="77" spans="2:12" s="1" customFormat="1" ht="14.45" customHeight="1"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27"/>
    </row>
    <row r="81" spans="2:47" s="1" customFormat="1" ht="6.95" customHeight="1"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27"/>
    </row>
    <row r="82" spans="2:47" s="1" customFormat="1" ht="24.95" customHeight="1">
      <c r="B82" s="27"/>
      <c r="C82" s="19" t="s">
        <v>92</v>
      </c>
      <c r="L82" s="27"/>
    </row>
    <row r="83" spans="2:47" s="1" customFormat="1" ht="6.95" customHeight="1">
      <c r="B83" s="27"/>
      <c r="L83" s="27"/>
    </row>
    <row r="84" spans="2:47" s="1" customFormat="1" ht="12" customHeight="1">
      <c r="B84" s="27"/>
      <c r="C84" s="24" t="s">
        <v>14</v>
      </c>
      <c r="L84" s="27"/>
    </row>
    <row r="85" spans="2:47" s="1" customFormat="1" ht="26.25" customHeight="1">
      <c r="B85" s="27"/>
      <c r="E85" s="283" t="str">
        <f>E7</f>
        <v>Rozvoj komunitních sociálních služeb DOZP v lokalitě Jičín - aktualizace PD - změna PD 11/2022</v>
      </c>
      <c r="F85" s="284"/>
      <c r="G85" s="284"/>
      <c r="H85" s="284"/>
      <c r="L85" s="27"/>
    </row>
    <row r="86" spans="2:47" s="1" customFormat="1" ht="12" customHeight="1">
      <c r="B86" s="27"/>
      <c r="C86" s="24" t="s">
        <v>90</v>
      </c>
      <c r="L86" s="27"/>
    </row>
    <row r="87" spans="2:47" s="1" customFormat="1" ht="16.5" customHeight="1">
      <c r="B87" s="27"/>
      <c r="E87" s="270" t="str">
        <f>E9</f>
        <v>Objekt  B - a - Vytápění</v>
      </c>
      <c r="F87" s="285"/>
      <c r="G87" s="285"/>
      <c r="H87" s="285"/>
      <c r="L87" s="27"/>
    </row>
    <row r="88" spans="2:47" s="1" customFormat="1" ht="6.95" customHeight="1">
      <c r="B88" s="27"/>
      <c r="L88" s="27"/>
    </row>
    <row r="89" spans="2:47" s="1" customFormat="1" ht="12" customHeight="1">
      <c r="B89" s="27"/>
      <c r="C89" s="24" t="s">
        <v>18</v>
      </c>
      <c r="F89" s="22" t="str">
        <f>F12</f>
        <v>Jičín</v>
      </c>
      <c r="I89" s="24" t="s">
        <v>20</v>
      </c>
      <c r="J89" s="47" t="str">
        <f>IF(J12="","",J12)</f>
        <v>15. 3. 2022</v>
      </c>
      <c r="L89" s="27"/>
    </row>
    <row r="90" spans="2:47" s="1" customFormat="1" ht="6.95" customHeight="1">
      <c r="B90" s="27"/>
      <c r="L90" s="27"/>
    </row>
    <row r="91" spans="2:47" s="1" customFormat="1" ht="15.2" customHeight="1">
      <c r="B91" s="27"/>
      <c r="C91" s="24" t="s">
        <v>21</v>
      </c>
      <c r="F91" s="22" t="str">
        <f>E15</f>
        <v xml:space="preserve"> </v>
      </c>
      <c r="I91" s="24" t="s">
        <v>27</v>
      </c>
      <c r="J91" s="25" t="str">
        <f>E21</f>
        <v xml:space="preserve"> </v>
      </c>
      <c r="L91" s="27"/>
    </row>
    <row r="92" spans="2:47" s="1" customFormat="1" ht="15.2" customHeight="1">
      <c r="B92" s="27"/>
      <c r="C92" s="24" t="s">
        <v>25</v>
      </c>
      <c r="F92" s="22" t="str">
        <f>IF(E18="","",E18)</f>
        <v xml:space="preserve"> </v>
      </c>
      <c r="I92" s="24" t="s">
        <v>30</v>
      </c>
      <c r="J92" s="25" t="str">
        <f>E24</f>
        <v xml:space="preserve"> </v>
      </c>
      <c r="L92" s="27"/>
    </row>
    <row r="93" spans="2:47" s="1" customFormat="1" ht="10.35" customHeight="1">
      <c r="B93" s="27"/>
      <c r="L93" s="27"/>
    </row>
    <row r="94" spans="2:47" s="1" customFormat="1" ht="29.25" customHeight="1">
      <c r="B94" s="27"/>
      <c r="C94" s="96" t="s">
        <v>93</v>
      </c>
      <c r="D94" s="88"/>
      <c r="E94" s="88"/>
      <c r="F94" s="88"/>
      <c r="G94" s="88"/>
      <c r="H94" s="88"/>
      <c r="I94" s="88"/>
      <c r="J94" s="97" t="s">
        <v>94</v>
      </c>
      <c r="K94" s="88"/>
      <c r="L94" s="27"/>
    </row>
    <row r="95" spans="2:47" s="1" customFormat="1" ht="10.35" customHeight="1">
      <c r="B95" s="27"/>
      <c r="L95" s="27"/>
    </row>
    <row r="96" spans="2:47" s="1" customFormat="1" ht="22.9" customHeight="1">
      <c r="B96" s="27"/>
      <c r="C96" s="98" t="s">
        <v>95</v>
      </c>
      <c r="J96" s="61">
        <f>J123</f>
        <v>2614978.13</v>
      </c>
      <c r="L96" s="27"/>
      <c r="AU96" s="15" t="s">
        <v>96</v>
      </c>
    </row>
    <row r="97" spans="2:12" s="8" customFormat="1" ht="24.95" customHeight="1">
      <c r="B97" s="99"/>
      <c r="D97" s="100" t="s">
        <v>105</v>
      </c>
      <c r="E97" s="101"/>
      <c r="F97" s="101"/>
      <c r="G97" s="101"/>
      <c r="H97" s="101"/>
      <c r="I97" s="101"/>
      <c r="J97" s="102">
        <f>J124</f>
        <v>2588278.13</v>
      </c>
      <c r="L97" s="99"/>
    </row>
    <row r="98" spans="2:12" s="9" customFormat="1" ht="19.899999999999999" customHeight="1">
      <c r="B98" s="103"/>
      <c r="D98" s="104" t="s">
        <v>1513</v>
      </c>
      <c r="E98" s="105"/>
      <c r="F98" s="105"/>
      <c r="G98" s="105"/>
      <c r="H98" s="105"/>
      <c r="I98" s="105"/>
      <c r="J98" s="106">
        <f>J125</f>
        <v>28459.84</v>
      </c>
      <c r="L98" s="103"/>
    </row>
    <row r="99" spans="2:12" s="9" customFormat="1" ht="19.899999999999999" customHeight="1">
      <c r="B99" s="103"/>
      <c r="D99" s="104" t="s">
        <v>1512</v>
      </c>
      <c r="E99" s="105"/>
      <c r="F99" s="105"/>
      <c r="G99" s="105"/>
      <c r="H99" s="105"/>
      <c r="I99" s="105"/>
      <c r="J99" s="106">
        <f>J128</f>
        <v>808444.2</v>
      </c>
      <c r="L99" s="103"/>
    </row>
    <row r="100" spans="2:12" s="9" customFormat="1" ht="19.899999999999999" customHeight="1">
      <c r="B100" s="103"/>
      <c r="D100" s="104" t="s">
        <v>1511</v>
      </c>
      <c r="E100" s="105"/>
      <c r="F100" s="105"/>
      <c r="G100" s="105"/>
      <c r="H100" s="105"/>
      <c r="I100" s="105"/>
      <c r="J100" s="106">
        <f>J148</f>
        <v>285145.90000000002</v>
      </c>
      <c r="L100" s="103"/>
    </row>
    <row r="101" spans="2:12" s="9" customFormat="1" ht="19.899999999999999" customHeight="1">
      <c r="B101" s="103"/>
      <c r="D101" s="104" t="s">
        <v>1510</v>
      </c>
      <c r="E101" s="105"/>
      <c r="F101" s="105"/>
      <c r="G101" s="105"/>
      <c r="H101" s="105"/>
      <c r="I101" s="105"/>
      <c r="J101" s="106">
        <f>J165</f>
        <v>59961.75</v>
      </c>
      <c r="L101" s="103"/>
    </row>
    <row r="102" spans="2:12" s="9" customFormat="1" ht="19.899999999999999" customHeight="1">
      <c r="B102" s="103"/>
      <c r="D102" s="104" t="s">
        <v>1509</v>
      </c>
      <c r="E102" s="105"/>
      <c r="F102" s="105"/>
      <c r="G102" s="105"/>
      <c r="H102" s="105"/>
      <c r="I102" s="105"/>
      <c r="J102" s="106">
        <f>J188</f>
        <v>1406266.44</v>
      </c>
      <c r="L102" s="103"/>
    </row>
    <row r="103" spans="2:12" s="8" customFormat="1" ht="24.95" customHeight="1">
      <c r="B103" s="99"/>
      <c r="D103" s="100" t="s">
        <v>1508</v>
      </c>
      <c r="E103" s="101"/>
      <c r="F103" s="101"/>
      <c r="G103" s="101"/>
      <c r="H103" s="101"/>
      <c r="I103" s="101"/>
      <c r="J103" s="102">
        <f>J216</f>
        <v>26700</v>
      </c>
      <c r="L103" s="99"/>
    </row>
    <row r="104" spans="2:12" s="1" customFormat="1" ht="21.75" customHeight="1">
      <c r="B104" s="27"/>
      <c r="L104" s="27"/>
    </row>
    <row r="105" spans="2:12" s="1" customFormat="1" ht="6.95" customHeight="1">
      <c r="B105" s="39"/>
      <c r="C105" s="40"/>
      <c r="D105" s="40"/>
      <c r="E105" s="40"/>
      <c r="F105" s="40"/>
      <c r="G105" s="40"/>
      <c r="H105" s="40"/>
      <c r="I105" s="40"/>
      <c r="J105" s="40"/>
      <c r="K105" s="40"/>
      <c r="L105" s="27"/>
    </row>
    <row r="109" spans="2:12" s="1" customFormat="1" ht="6.95" customHeight="1">
      <c r="B109" s="41"/>
      <c r="C109" s="42"/>
      <c r="D109" s="42"/>
      <c r="E109" s="42"/>
      <c r="F109" s="42"/>
      <c r="G109" s="42"/>
      <c r="H109" s="42"/>
      <c r="I109" s="42"/>
      <c r="J109" s="42"/>
      <c r="K109" s="42"/>
      <c r="L109" s="27"/>
    </row>
    <row r="110" spans="2:12" s="1" customFormat="1" ht="24.95" customHeight="1">
      <c r="B110" s="27"/>
      <c r="C110" s="19" t="s">
        <v>126</v>
      </c>
      <c r="L110" s="27"/>
    </row>
    <row r="111" spans="2:12" s="1" customFormat="1" ht="6.95" customHeight="1">
      <c r="B111" s="27"/>
      <c r="L111" s="27"/>
    </row>
    <row r="112" spans="2:12" s="1" customFormat="1" ht="12" customHeight="1">
      <c r="B112" s="27"/>
      <c r="C112" s="24" t="s">
        <v>14</v>
      </c>
      <c r="L112" s="27"/>
    </row>
    <row r="113" spans="2:65" s="1" customFormat="1" ht="26.25" customHeight="1">
      <c r="B113" s="27"/>
      <c r="E113" s="283" t="str">
        <f>E7</f>
        <v>Rozvoj komunitních sociálních služeb DOZP v lokalitě Jičín - aktualizace PD - změna PD 11/2022</v>
      </c>
      <c r="F113" s="284"/>
      <c r="G113" s="284"/>
      <c r="H113" s="284"/>
      <c r="L113" s="27"/>
    </row>
    <row r="114" spans="2:65" s="1" customFormat="1" ht="12" customHeight="1">
      <c r="B114" s="27"/>
      <c r="C114" s="24" t="s">
        <v>90</v>
      </c>
      <c r="L114" s="27"/>
    </row>
    <row r="115" spans="2:65" s="1" customFormat="1" ht="16.5" customHeight="1">
      <c r="B115" s="27"/>
      <c r="E115" s="270" t="str">
        <f>E9</f>
        <v>Objekt  B - a - Vytápění</v>
      </c>
      <c r="F115" s="285"/>
      <c r="G115" s="285"/>
      <c r="H115" s="285"/>
      <c r="L115" s="27"/>
    </row>
    <row r="116" spans="2:65" s="1" customFormat="1" ht="6.95" customHeight="1">
      <c r="B116" s="27"/>
      <c r="L116" s="27"/>
    </row>
    <row r="117" spans="2:65" s="1" customFormat="1" ht="12" customHeight="1">
      <c r="B117" s="27"/>
      <c r="C117" s="24" t="s">
        <v>18</v>
      </c>
      <c r="F117" s="22" t="str">
        <f>F12</f>
        <v>Jičín</v>
      </c>
      <c r="I117" s="24" t="s">
        <v>20</v>
      </c>
      <c r="J117" s="47" t="str">
        <f>IF(J12="","",J12)</f>
        <v>15. 3. 2022</v>
      </c>
      <c r="L117" s="27"/>
    </row>
    <row r="118" spans="2:65" s="1" customFormat="1" ht="6.95" customHeight="1">
      <c r="B118" s="27"/>
      <c r="L118" s="27"/>
    </row>
    <row r="119" spans="2:65" s="1" customFormat="1" ht="15.2" customHeight="1">
      <c r="B119" s="27"/>
      <c r="C119" s="24" t="s">
        <v>21</v>
      </c>
      <c r="F119" s="22" t="str">
        <f>E15</f>
        <v xml:space="preserve"> </v>
      </c>
      <c r="I119" s="24" t="s">
        <v>27</v>
      </c>
      <c r="J119" s="25" t="str">
        <f>E21</f>
        <v xml:space="preserve"> </v>
      </c>
      <c r="L119" s="27"/>
    </row>
    <row r="120" spans="2:65" s="1" customFormat="1" ht="15.2" customHeight="1">
      <c r="B120" s="27"/>
      <c r="C120" s="24" t="s">
        <v>25</v>
      </c>
      <c r="F120" s="22" t="str">
        <f>IF(E18="","",E18)</f>
        <v xml:space="preserve"> </v>
      </c>
      <c r="I120" s="24" t="s">
        <v>30</v>
      </c>
      <c r="J120" s="25" t="str">
        <f>E24</f>
        <v xml:space="preserve"> </v>
      </c>
      <c r="L120" s="27"/>
    </row>
    <row r="121" spans="2:65" s="1" customFormat="1" ht="10.35" customHeight="1">
      <c r="B121" s="27"/>
      <c r="L121" s="27"/>
    </row>
    <row r="122" spans="2:65" s="10" customFormat="1" ht="29.25" customHeight="1">
      <c r="B122" s="107"/>
      <c r="C122" s="108" t="s">
        <v>127</v>
      </c>
      <c r="D122" s="109" t="s">
        <v>58</v>
      </c>
      <c r="E122" s="109" t="s">
        <v>54</v>
      </c>
      <c r="F122" s="109" t="s">
        <v>55</v>
      </c>
      <c r="G122" s="109" t="s">
        <v>128</v>
      </c>
      <c r="H122" s="109" t="s">
        <v>129</v>
      </c>
      <c r="I122" s="109" t="s">
        <v>130</v>
      </c>
      <c r="J122" s="109" t="s">
        <v>94</v>
      </c>
      <c r="K122" s="110" t="s">
        <v>131</v>
      </c>
      <c r="L122" s="107"/>
      <c r="M122" s="54" t="s">
        <v>1</v>
      </c>
      <c r="N122" s="55" t="s">
        <v>37</v>
      </c>
      <c r="O122" s="55" t="s">
        <v>132</v>
      </c>
      <c r="P122" s="55" t="s">
        <v>133</v>
      </c>
      <c r="Q122" s="55" t="s">
        <v>134</v>
      </c>
      <c r="R122" s="55" t="s">
        <v>135</v>
      </c>
      <c r="S122" s="55" t="s">
        <v>136</v>
      </c>
      <c r="T122" s="56" t="s">
        <v>137</v>
      </c>
    </row>
    <row r="123" spans="2:65" s="1" customFormat="1" ht="22.9" customHeight="1">
      <c r="B123" s="27"/>
      <c r="C123" s="59" t="s">
        <v>138</v>
      </c>
      <c r="J123" s="111">
        <f>BK123</f>
        <v>2614978.13</v>
      </c>
      <c r="L123" s="27"/>
      <c r="M123" s="57"/>
      <c r="N123" s="48"/>
      <c r="O123" s="48"/>
      <c r="P123" s="112">
        <f>P124+P216</f>
        <v>782.39846199999999</v>
      </c>
      <c r="Q123" s="48"/>
      <c r="R123" s="112">
        <f>R124+R216</f>
        <v>4.6458499999999994</v>
      </c>
      <c r="S123" s="48"/>
      <c r="T123" s="113">
        <f>T124+T216</f>
        <v>0</v>
      </c>
      <c r="AT123" s="15" t="s">
        <v>72</v>
      </c>
      <c r="AU123" s="15" t="s">
        <v>96</v>
      </c>
      <c r="BK123" s="114">
        <f>BK124+BK216</f>
        <v>2614978.13</v>
      </c>
    </row>
    <row r="124" spans="2:65" s="11" customFormat="1" ht="25.9" customHeight="1">
      <c r="B124" s="115"/>
      <c r="D124" s="116" t="s">
        <v>72</v>
      </c>
      <c r="E124" s="117" t="s">
        <v>516</v>
      </c>
      <c r="F124" s="117" t="s">
        <v>517</v>
      </c>
      <c r="J124" s="118">
        <f>BK124</f>
        <v>2588278.13</v>
      </c>
      <c r="L124" s="115"/>
      <c r="M124" s="119"/>
      <c r="P124" s="120">
        <f>P125+P128+P148+P165+P188</f>
        <v>732.39846199999999</v>
      </c>
      <c r="R124" s="120">
        <f>R125+R128+R148+R165+R188</f>
        <v>4.6458499999999994</v>
      </c>
      <c r="T124" s="121">
        <f>T125+T128+T148+T165+T188</f>
        <v>0</v>
      </c>
      <c r="AR124" s="116" t="s">
        <v>143</v>
      </c>
      <c r="AT124" s="122" t="s">
        <v>72</v>
      </c>
      <c r="AU124" s="122" t="s">
        <v>73</v>
      </c>
      <c r="AY124" s="116" t="s">
        <v>141</v>
      </c>
      <c r="BK124" s="123">
        <f>BK125+BK128+BK148+BK165+BK188</f>
        <v>2588278.13</v>
      </c>
    </row>
    <row r="125" spans="2:65" s="11" customFormat="1" ht="22.9" customHeight="1">
      <c r="B125" s="115"/>
      <c r="D125" s="116" t="s">
        <v>72</v>
      </c>
      <c r="E125" s="124" t="s">
        <v>735</v>
      </c>
      <c r="F125" s="124" t="s">
        <v>1507</v>
      </c>
      <c r="J125" s="125">
        <f>BK125</f>
        <v>28459.84</v>
      </c>
      <c r="L125" s="115"/>
      <c r="M125" s="119"/>
      <c r="P125" s="120">
        <f>SUM(P126:P127)</f>
        <v>3.966952</v>
      </c>
      <c r="R125" s="120">
        <f>SUM(R126:R127)</f>
        <v>3.5839999999999997E-2</v>
      </c>
      <c r="T125" s="121">
        <f>SUM(T126:T127)</f>
        <v>0</v>
      </c>
      <c r="AR125" s="116" t="s">
        <v>143</v>
      </c>
      <c r="AT125" s="122" t="s">
        <v>72</v>
      </c>
      <c r="AU125" s="122" t="s">
        <v>81</v>
      </c>
      <c r="AY125" s="116" t="s">
        <v>141</v>
      </c>
      <c r="BK125" s="123">
        <f>SUM(BK126:BK127)</f>
        <v>28459.84</v>
      </c>
    </row>
    <row r="126" spans="2:65" s="1" customFormat="1" ht="24.2" customHeight="1">
      <c r="B126" s="126"/>
      <c r="C126" s="127" t="s">
        <v>81</v>
      </c>
      <c r="D126" s="127" t="s">
        <v>144</v>
      </c>
      <c r="E126" s="128" t="s">
        <v>1506</v>
      </c>
      <c r="F126" s="129" t="s">
        <v>1505</v>
      </c>
      <c r="G126" s="130" t="s">
        <v>1111</v>
      </c>
      <c r="H126" s="131">
        <v>1</v>
      </c>
      <c r="I126" s="132">
        <v>28300</v>
      </c>
      <c r="J126" s="132">
        <f>ROUND(I126*H126,2)</f>
        <v>28300</v>
      </c>
      <c r="K126" s="129" t="s">
        <v>148</v>
      </c>
      <c r="L126" s="27"/>
      <c r="M126" s="133" t="s">
        <v>1</v>
      </c>
      <c r="N126" s="134" t="s">
        <v>39</v>
      </c>
      <c r="O126" s="135">
        <v>3.5859999999999999</v>
      </c>
      <c r="P126" s="135">
        <f>O126*H126</f>
        <v>3.5859999999999999</v>
      </c>
      <c r="Q126" s="135">
        <v>3.5839999999999997E-2</v>
      </c>
      <c r="R126" s="135">
        <f>Q126*H126</f>
        <v>3.5839999999999997E-2</v>
      </c>
      <c r="S126" s="135">
        <v>0</v>
      </c>
      <c r="T126" s="136">
        <f>S126*H126</f>
        <v>0</v>
      </c>
      <c r="AR126" s="137" t="s">
        <v>206</v>
      </c>
      <c r="AT126" s="137" t="s">
        <v>144</v>
      </c>
      <c r="AU126" s="137" t="s">
        <v>143</v>
      </c>
      <c r="AY126" s="15" t="s">
        <v>141</v>
      </c>
      <c r="BE126" s="138">
        <f>IF(N126="základní",J126,0)</f>
        <v>0</v>
      </c>
      <c r="BF126" s="138">
        <f>IF(N126="snížená",J126,0)</f>
        <v>28300</v>
      </c>
      <c r="BG126" s="138">
        <f>IF(N126="zákl. přenesená",J126,0)</f>
        <v>0</v>
      </c>
      <c r="BH126" s="138">
        <f>IF(N126="sníž. přenesená",J126,0)</f>
        <v>0</v>
      </c>
      <c r="BI126" s="138">
        <f>IF(N126="nulová",J126,0)</f>
        <v>0</v>
      </c>
      <c r="BJ126" s="15" t="s">
        <v>143</v>
      </c>
      <c r="BK126" s="138">
        <f>ROUND(I126*H126,2)</f>
        <v>28300</v>
      </c>
      <c r="BL126" s="15" t="s">
        <v>206</v>
      </c>
      <c r="BM126" s="137" t="s">
        <v>1558</v>
      </c>
    </row>
    <row r="127" spans="2:65" s="1" customFormat="1" ht="37.9" customHeight="1">
      <c r="B127" s="126"/>
      <c r="C127" s="127" t="s">
        <v>143</v>
      </c>
      <c r="D127" s="127" t="s">
        <v>144</v>
      </c>
      <c r="E127" s="128" t="s">
        <v>1503</v>
      </c>
      <c r="F127" s="129" t="s">
        <v>1502</v>
      </c>
      <c r="G127" s="130" t="s">
        <v>179</v>
      </c>
      <c r="H127" s="131">
        <v>3.5999999999999997E-2</v>
      </c>
      <c r="I127" s="132">
        <v>4440</v>
      </c>
      <c r="J127" s="132">
        <f>ROUND(I127*H127,2)</f>
        <v>159.84</v>
      </c>
      <c r="K127" s="129" t="s">
        <v>148</v>
      </c>
      <c r="L127" s="27"/>
      <c r="M127" s="133" t="s">
        <v>1</v>
      </c>
      <c r="N127" s="134" t="s">
        <v>39</v>
      </c>
      <c r="O127" s="135">
        <v>10.582000000000001</v>
      </c>
      <c r="P127" s="135">
        <f>O127*H127</f>
        <v>0.38095200000000001</v>
      </c>
      <c r="Q127" s="135">
        <v>0</v>
      </c>
      <c r="R127" s="135">
        <f>Q127*H127</f>
        <v>0</v>
      </c>
      <c r="S127" s="135">
        <v>0</v>
      </c>
      <c r="T127" s="136">
        <f>S127*H127</f>
        <v>0</v>
      </c>
      <c r="AR127" s="137" t="s">
        <v>206</v>
      </c>
      <c r="AT127" s="137" t="s">
        <v>144</v>
      </c>
      <c r="AU127" s="137" t="s">
        <v>143</v>
      </c>
      <c r="AY127" s="15" t="s">
        <v>141</v>
      </c>
      <c r="BE127" s="138">
        <f>IF(N127="základní",J127,0)</f>
        <v>0</v>
      </c>
      <c r="BF127" s="138">
        <f>IF(N127="snížená",J127,0)</f>
        <v>159.84</v>
      </c>
      <c r="BG127" s="138">
        <f>IF(N127="zákl. přenesená",J127,0)</f>
        <v>0</v>
      </c>
      <c r="BH127" s="138">
        <f>IF(N127="sníž. přenesená",J127,0)</f>
        <v>0</v>
      </c>
      <c r="BI127" s="138">
        <f>IF(N127="nulová",J127,0)</f>
        <v>0</v>
      </c>
      <c r="BJ127" s="15" t="s">
        <v>143</v>
      </c>
      <c r="BK127" s="138">
        <f>ROUND(I127*H127,2)</f>
        <v>159.84</v>
      </c>
      <c r="BL127" s="15" t="s">
        <v>206</v>
      </c>
      <c r="BM127" s="137" t="s">
        <v>1557</v>
      </c>
    </row>
    <row r="128" spans="2:65" s="11" customFormat="1" ht="22.9" customHeight="1">
      <c r="B128" s="115"/>
      <c r="D128" s="116" t="s">
        <v>72</v>
      </c>
      <c r="E128" s="124" t="s">
        <v>1500</v>
      </c>
      <c r="F128" s="124" t="s">
        <v>1499</v>
      </c>
      <c r="J128" s="125">
        <f>BK128</f>
        <v>808444.2</v>
      </c>
      <c r="L128" s="115"/>
      <c r="M128" s="119"/>
      <c r="P128" s="120">
        <f>SUM(P129:P147)</f>
        <v>29.772323999999998</v>
      </c>
      <c r="R128" s="120">
        <f>SUM(R129:R147)</f>
        <v>0.86806000000000005</v>
      </c>
      <c r="T128" s="121">
        <f>SUM(T129:T147)</f>
        <v>0</v>
      </c>
      <c r="AR128" s="116" t="s">
        <v>143</v>
      </c>
      <c r="AT128" s="122" t="s">
        <v>72</v>
      </c>
      <c r="AU128" s="122" t="s">
        <v>81</v>
      </c>
      <c r="AY128" s="116" t="s">
        <v>141</v>
      </c>
      <c r="BK128" s="123">
        <f>SUM(BK129:BK147)</f>
        <v>808444.2</v>
      </c>
    </row>
    <row r="129" spans="2:65" s="1" customFormat="1" ht="24.2" customHeight="1">
      <c r="B129" s="126"/>
      <c r="C129" s="127" t="s">
        <v>151</v>
      </c>
      <c r="D129" s="127" t="s">
        <v>144</v>
      </c>
      <c r="E129" s="128" t="s">
        <v>1498</v>
      </c>
      <c r="F129" s="129" t="s">
        <v>1497</v>
      </c>
      <c r="G129" s="130" t="s">
        <v>1478</v>
      </c>
      <c r="H129" s="131">
        <v>1</v>
      </c>
      <c r="I129" s="132">
        <v>73500</v>
      </c>
      <c r="J129" s="132">
        <f t="shared" ref="J129:J147" si="0">ROUND(I129*H129,2)</f>
        <v>73500</v>
      </c>
      <c r="K129" s="129" t="s">
        <v>1</v>
      </c>
      <c r="L129" s="27"/>
      <c r="M129" s="133" t="s">
        <v>1</v>
      </c>
      <c r="N129" s="134" t="s">
        <v>39</v>
      </c>
      <c r="O129" s="135">
        <v>0</v>
      </c>
      <c r="P129" s="135">
        <f t="shared" ref="P129:P147" si="1">O129*H129</f>
        <v>0</v>
      </c>
      <c r="Q129" s="135">
        <v>5.0000000000000001E-3</v>
      </c>
      <c r="R129" s="135">
        <f t="shared" ref="R129:R147" si="2">Q129*H129</f>
        <v>5.0000000000000001E-3</v>
      </c>
      <c r="S129" s="135">
        <v>0</v>
      </c>
      <c r="T129" s="136">
        <f t="shared" ref="T129:T147" si="3">S129*H129</f>
        <v>0</v>
      </c>
      <c r="AR129" s="137" t="s">
        <v>206</v>
      </c>
      <c r="AT129" s="137" t="s">
        <v>144</v>
      </c>
      <c r="AU129" s="137" t="s">
        <v>143</v>
      </c>
      <c r="AY129" s="15" t="s">
        <v>141</v>
      </c>
      <c r="BE129" s="138">
        <f t="shared" ref="BE129:BE147" si="4">IF(N129="základní",J129,0)</f>
        <v>0</v>
      </c>
      <c r="BF129" s="138">
        <f t="shared" ref="BF129:BF147" si="5">IF(N129="snížená",J129,0)</f>
        <v>73500</v>
      </c>
      <c r="BG129" s="138">
        <f t="shared" ref="BG129:BG147" si="6">IF(N129="zákl. přenesená",J129,0)</f>
        <v>0</v>
      </c>
      <c r="BH129" s="138">
        <f t="shared" ref="BH129:BH147" si="7">IF(N129="sníž. přenesená",J129,0)</f>
        <v>0</v>
      </c>
      <c r="BI129" s="138">
        <f t="shared" ref="BI129:BI147" si="8">IF(N129="nulová",J129,0)</f>
        <v>0</v>
      </c>
      <c r="BJ129" s="15" t="s">
        <v>143</v>
      </c>
      <c r="BK129" s="138">
        <f t="shared" ref="BK129:BK147" si="9">ROUND(I129*H129,2)</f>
        <v>73500</v>
      </c>
      <c r="BL129" s="15" t="s">
        <v>206</v>
      </c>
      <c r="BM129" s="137" t="s">
        <v>1556</v>
      </c>
    </row>
    <row r="130" spans="2:65" s="1" customFormat="1" ht="37.9" customHeight="1">
      <c r="B130" s="126"/>
      <c r="C130" s="127" t="s">
        <v>149</v>
      </c>
      <c r="D130" s="127" t="s">
        <v>144</v>
      </c>
      <c r="E130" s="128" t="s">
        <v>1495</v>
      </c>
      <c r="F130" s="129" t="s">
        <v>1494</v>
      </c>
      <c r="G130" s="130" t="s">
        <v>1478</v>
      </c>
      <c r="H130" s="131">
        <v>1</v>
      </c>
      <c r="I130" s="132">
        <v>73900</v>
      </c>
      <c r="J130" s="132">
        <f t="shared" si="0"/>
        <v>73900</v>
      </c>
      <c r="K130" s="129" t="s">
        <v>1</v>
      </c>
      <c r="L130" s="27"/>
      <c r="M130" s="133" t="s">
        <v>1</v>
      </c>
      <c r="N130" s="134" t="s">
        <v>39</v>
      </c>
      <c r="O130" s="135">
        <v>0</v>
      </c>
      <c r="P130" s="135">
        <f t="shared" si="1"/>
        <v>0</v>
      </c>
      <c r="Q130" s="135">
        <v>5.0000000000000001E-3</v>
      </c>
      <c r="R130" s="135">
        <f t="shared" si="2"/>
        <v>5.0000000000000001E-3</v>
      </c>
      <c r="S130" s="135">
        <v>0</v>
      </c>
      <c r="T130" s="136">
        <f t="shared" si="3"/>
        <v>0</v>
      </c>
      <c r="AR130" s="137" t="s">
        <v>206</v>
      </c>
      <c r="AT130" s="137" t="s">
        <v>144</v>
      </c>
      <c r="AU130" s="137" t="s">
        <v>143</v>
      </c>
      <c r="AY130" s="15" t="s">
        <v>141</v>
      </c>
      <c r="BE130" s="138">
        <f t="shared" si="4"/>
        <v>0</v>
      </c>
      <c r="BF130" s="138">
        <f t="shared" si="5"/>
        <v>73900</v>
      </c>
      <c r="BG130" s="138">
        <f t="shared" si="6"/>
        <v>0</v>
      </c>
      <c r="BH130" s="138">
        <f t="shared" si="7"/>
        <v>0</v>
      </c>
      <c r="BI130" s="138">
        <f t="shared" si="8"/>
        <v>0</v>
      </c>
      <c r="BJ130" s="15" t="s">
        <v>143</v>
      </c>
      <c r="BK130" s="138">
        <f t="shared" si="9"/>
        <v>73900</v>
      </c>
      <c r="BL130" s="15" t="s">
        <v>206</v>
      </c>
      <c r="BM130" s="137" t="s">
        <v>1555</v>
      </c>
    </row>
    <row r="131" spans="2:65" s="1" customFormat="1" ht="24.2" customHeight="1">
      <c r="B131" s="126"/>
      <c r="C131" s="127" t="s">
        <v>159</v>
      </c>
      <c r="D131" s="127" t="s">
        <v>144</v>
      </c>
      <c r="E131" s="128" t="s">
        <v>1492</v>
      </c>
      <c r="F131" s="129" t="s">
        <v>1491</v>
      </c>
      <c r="G131" s="130" t="s">
        <v>1478</v>
      </c>
      <c r="H131" s="131">
        <v>1</v>
      </c>
      <c r="I131" s="132">
        <v>19990</v>
      </c>
      <c r="J131" s="132">
        <f t="shared" si="0"/>
        <v>19990</v>
      </c>
      <c r="K131" s="129" t="s">
        <v>1</v>
      </c>
      <c r="L131" s="27"/>
      <c r="M131" s="133" t="s">
        <v>1</v>
      </c>
      <c r="N131" s="134" t="s">
        <v>39</v>
      </c>
      <c r="O131" s="135">
        <v>0</v>
      </c>
      <c r="P131" s="135">
        <f t="shared" si="1"/>
        <v>0</v>
      </c>
      <c r="Q131" s="135">
        <v>5.0000000000000001E-3</v>
      </c>
      <c r="R131" s="135">
        <f t="shared" si="2"/>
        <v>5.0000000000000001E-3</v>
      </c>
      <c r="S131" s="135">
        <v>0</v>
      </c>
      <c r="T131" s="136">
        <f t="shared" si="3"/>
        <v>0</v>
      </c>
      <c r="AR131" s="137" t="s">
        <v>206</v>
      </c>
      <c r="AT131" s="137" t="s">
        <v>144</v>
      </c>
      <c r="AU131" s="137" t="s">
        <v>143</v>
      </c>
      <c r="AY131" s="15" t="s">
        <v>141</v>
      </c>
      <c r="BE131" s="138">
        <f t="shared" si="4"/>
        <v>0</v>
      </c>
      <c r="BF131" s="138">
        <f t="shared" si="5"/>
        <v>19990</v>
      </c>
      <c r="BG131" s="138">
        <f t="shared" si="6"/>
        <v>0</v>
      </c>
      <c r="BH131" s="138">
        <f t="shared" si="7"/>
        <v>0</v>
      </c>
      <c r="BI131" s="138">
        <f t="shared" si="8"/>
        <v>0</v>
      </c>
      <c r="BJ131" s="15" t="s">
        <v>143</v>
      </c>
      <c r="BK131" s="138">
        <f t="shared" si="9"/>
        <v>19990</v>
      </c>
      <c r="BL131" s="15" t="s">
        <v>206</v>
      </c>
      <c r="BM131" s="137" t="s">
        <v>1554</v>
      </c>
    </row>
    <row r="132" spans="2:65" s="1" customFormat="1" ht="16.5" customHeight="1">
      <c r="B132" s="126"/>
      <c r="C132" s="127" t="s">
        <v>164</v>
      </c>
      <c r="D132" s="127" t="s">
        <v>144</v>
      </c>
      <c r="E132" s="128" t="s">
        <v>1489</v>
      </c>
      <c r="F132" s="129" t="s">
        <v>1488</v>
      </c>
      <c r="G132" s="130" t="s">
        <v>1478</v>
      </c>
      <c r="H132" s="131">
        <v>1</v>
      </c>
      <c r="I132" s="132">
        <v>3000</v>
      </c>
      <c r="J132" s="132">
        <f t="shared" si="0"/>
        <v>3000</v>
      </c>
      <c r="K132" s="129" t="s">
        <v>1</v>
      </c>
      <c r="L132" s="27"/>
      <c r="M132" s="133" t="s">
        <v>1</v>
      </c>
      <c r="N132" s="134" t="s">
        <v>39</v>
      </c>
      <c r="O132" s="135">
        <v>0</v>
      </c>
      <c r="P132" s="135">
        <f t="shared" si="1"/>
        <v>0</v>
      </c>
      <c r="Q132" s="135">
        <v>5.0000000000000001E-3</v>
      </c>
      <c r="R132" s="135">
        <f t="shared" si="2"/>
        <v>5.0000000000000001E-3</v>
      </c>
      <c r="S132" s="135">
        <v>0</v>
      </c>
      <c r="T132" s="136">
        <f t="shared" si="3"/>
        <v>0</v>
      </c>
      <c r="AR132" s="137" t="s">
        <v>206</v>
      </c>
      <c r="AT132" s="137" t="s">
        <v>144</v>
      </c>
      <c r="AU132" s="137" t="s">
        <v>143</v>
      </c>
      <c r="AY132" s="15" t="s">
        <v>141</v>
      </c>
      <c r="BE132" s="138">
        <f t="shared" si="4"/>
        <v>0</v>
      </c>
      <c r="BF132" s="138">
        <f t="shared" si="5"/>
        <v>3000</v>
      </c>
      <c r="BG132" s="138">
        <f t="shared" si="6"/>
        <v>0</v>
      </c>
      <c r="BH132" s="138">
        <f t="shared" si="7"/>
        <v>0</v>
      </c>
      <c r="BI132" s="138">
        <f t="shared" si="8"/>
        <v>0</v>
      </c>
      <c r="BJ132" s="15" t="s">
        <v>143</v>
      </c>
      <c r="BK132" s="138">
        <f t="shared" si="9"/>
        <v>3000</v>
      </c>
      <c r="BL132" s="15" t="s">
        <v>206</v>
      </c>
      <c r="BM132" s="137" t="s">
        <v>1553</v>
      </c>
    </row>
    <row r="133" spans="2:65" s="1" customFormat="1" ht="16.5" customHeight="1">
      <c r="B133" s="126"/>
      <c r="C133" s="127" t="s">
        <v>168</v>
      </c>
      <c r="D133" s="127" t="s">
        <v>144</v>
      </c>
      <c r="E133" s="128" t="s">
        <v>1486</v>
      </c>
      <c r="F133" s="129" t="s">
        <v>1485</v>
      </c>
      <c r="G133" s="130" t="s">
        <v>1478</v>
      </c>
      <c r="H133" s="131">
        <v>1</v>
      </c>
      <c r="I133" s="132">
        <v>500</v>
      </c>
      <c r="J133" s="132">
        <f t="shared" si="0"/>
        <v>500</v>
      </c>
      <c r="K133" s="129" t="s">
        <v>1</v>
      </c>
      <c r="L133" s="27"/>
      <c r="M133" s="133" t="s">
        <v>1</v>
      </c>
      <c r="N133" s="134" t="s">
        <v>39</v>
      </c>
      <c r="O133" s="135">
        <v>0</v>
      </c>
      <c r="P133" s="135">
        <f t="shared" si="1"/>
        <v>0</v>
      </c>
      <c r="Q133" s="135">
        <v>5.0000000000000001E-3</v>
      </c>
      <c r="R133" s="135">
        <f t="shared" si="2"/>
        <v>5.0000000000000001E-3</v>
      </c>
      <c r="S133" s="135">
        <v>0</v>
      </c>
      <c r="T133" s="136">
        <f t="shared" si="3"/>
        <v>0</v>
      </c>
      <c r="AR133" s="137" t="s">
        <v>206</v>
      </c>
      <c r="AT133" s="137" t="s">
        <v>144</v>
      </c>
      <c r="AU133" s="137" t="s">
        <v>143</v>
      </c>
      <c r="AY133" s="15" t="s">
        <v>141</v>
      </c>
      <c r="BE133" s="138">
        <f t="shared" si="4"/>
        <v>0</v>
      </c>
      <c r="BF133" s="138">
        <f t="shared" si="5"/>
        <v>500</v>
      </c>
      <c r="BG133" s="138">
        <f t="shared" si="6"/>
        <v>0</v>
      </c>
      <c r="BH133" s="138">
        <f t="shared" si="7"/>
        <v>0</v>
      </c>
      <c r="BI133" s="138">
        <f t="shared" si="8"/>
        <v>0</v>
      </c>
      <c r="BJ133" s="15" t="s">
        <v>143</v>
      </c>
      <c r="BK133" s="138">
        <f t="shared" si="9"/>
        <v>500</v>
      </c>
      <c r="BL133" s="15" t="s">
        <v>206</v>
      </c>
      <c r="BM133" s="137" t="s">
        <v>1552</v>
      </c>
    </row>
    <row r="134" spans="2:65" s="1" customFormat="1" ht="16.5" customHeight="1">
      <c r="B134" s="126"/>
      <c r="C134" s="127" t="s">
        <v>172</v>
      </c>
      <c r="D134" s="127" t="s">
        <v>144</v>
      </c>
      <c r="E134" s="128" t="s">
        <v>1483</v>
      </c>
      <c r="F134" s="129" t="s">
        <v>1482</v>
      </c>
      <c r="G134" s="130" t="s">
        <v>1478</v>
      </c>
      <c r="H134" s="131">
        <v>1</v>
      </c>
      <c r="I134" s="132">
        <v>3045</v>
      </c>
      <c r="J134" s="132">
        <f t="shared" si="0"/>
        <v>3045</v>
      </c>
      <c r="K134" s="129" t="s">
        <v>1</v>
      </c>
      <c r="L134" s="27"/>
      <c r="M134" s="133" t="s">
        <v>1</v>
      </c>
      <c r="N134" s="134" t="s">
        <v>39</v>
      </c>
      <c r="O134" s="135">
        <v>0</v>
      </c>
      <c r="P134" s="135">
        <f t="shared" si="1"/>
        <v>0</v>
      </c>
      <c r="Q134" s="135">
        <v>5.0000000000000001E-3</v>
      </c>
      <c r="R134" s="135">
        <f t="shared" si="2"/>
        <v>5.0000000000000001E-3</v>
      </c>
      <c r="S134" s="135">
        <v>0</v>
      </c>
      <c r="T134" s="136">
        <f t="shared" si="3"/>
        <v>0</v>
      </c>
      <c r="AR134" s="137" t="s">
        <v>206</v>
      </c>
      <c r="AT134" s="137" t="s">
        <v>144</v>
      </c>
      <c r="AU134" s="137" t="s">
        <v>143</v>
      </c>
      <c r="AY134" s="15" t="s">
        <v>141</v>
      </c>
      <c r="BE134" s="138">
        <f t="shared" si="4"/>
        <v>0</v>
      </c>
      <c r="BF134" s="138">
        <f t="shared" si="5"/>
        <v>3045</v>
      </c>
      <c r="BG134" s="138">
        <f t="shared" si="6"/>
        <v>0</v>
      </c>
      <c r="BH134" s="138">
        <f t="shared" si="7"/>
        <v>0</v>
      </c>
      <c r="BI134" s="138">
        <f t="shared" si="8"/>
        <v>0</v>
      </c>
      <c r="BJ134" s="15" t="s">
        <v>143</v>
      </c>
      <c r="BK134" s="138">
        <f t="shared" si="9"/>
        <v>3045</v>
      </c>
      <c r="BL134" s="15" t="s">
        <v>206</v>
      </c>
      <c r="BM134" s="137" t="s">
        <v>1551</v>
      </c>
    </row>
    <row r="135" spans="2:65" s="1" customFormat="1" ht="16.5" customHeight="1">
      <c r="B135" s="126"/>
      <c r="C135" s="127" t="s">
        <v>176</v>
      </c>
      <c r="D135" s="127" t="s">
        <v>144</v>
      </c>
      <c r="E135" s="128" t="s">
        <v>1480</v>
      </c>
      <c r="F135" s="129" t="s">
        <v>1479</v>
      </c>
      <c r="G135" s="130" t="s">
        <v>1478</v>
      </c>
      <c r="H135" s="131">
        <v>1</v>
      </c>
      <c r="I135" s="132">
        <v>10000</v>
      </c>
      <c r="J135" s="132">
        <f t="shared" si="0"/>
        <v>10000</v>
      </c>
      <c r="K135" s="129" t="s">
        <v>1</v>
      </c>
      <c r="L135" s="27"/>
      <c r="M135" s="133" t="s">
        <v>1</v>
      </c>
      <c r="N135" s="134" t="s">
        <v>39</v>
      </c>
      <c r="O135" s="135">
        <v>0</v>
      </c>
      <c r="P135" s="135">
        <f t="shared" si="1"/>
        <v>0</v>
      </c>
      <c r="Q135" s="135">
        <v>5.0000000000000001E-3</v>
      </c>
      <c r="R135" s="135">
        <f t="shared" si="2"/>
        <v>5.0000000000000001E-3</v>
      </c>
      <c r="S135" s="135">
        <v>0</v>
      </c>
      <c r="T135" s="136">
        <f t="shared" si="3"/>
        <v>0</v>
      </c>
      <c r="AR135" s="137" t="s">
        <v>206</v>
      </c>
      <c r="AT135" s="137" t="s">
        <v>144</v>
      </c>
      <c r="AU135" s="137" t="s">
        <v>143</v>
      </c>
      <c r="AY135" s="15" t="s">
        <v>141</v>
      </c>
      <c r="BE135" s="138">
        <f t="shared" si="4"/>
        <v>0</v>
      </c>
      <c r="BF135" s="138">
        <f t="shared" si="5"/>
        <v>10000</v>
      </c>
      <c r="BG135" s="138">
        <f t="shared" si="6"/>
        <v>0</v>
      </c>
      <c r="BH135" s="138">
        <f t="shared" si="7"/>
        <v>0</v>
      </c>
      <c r="BI135" s="138">
        <f t="shared" si="8"/>
        <v>0</v>
      </c>
      <c r="BJ135" s="15" t="s">
        <v>143</v>
      </c>
      <c r="BK135" s="138">
        <f t="shared" si="9"/>
        <v>10000</v>
      </c>
      <c r="BL135" s="15" t="s">
        <v>206</v>
      </c>
      <c r="BM135" s="137" t="s">
        <v>1550</v>
      </c>
    </row>
    <row r="136" spans="2:65" s="1" customFormat="1" ht="16.5" customHeight="1">
      <c r="B136" s="126"/>
      <c r="C136" s="127" t="s">
        <v>181</v>
      </c>
      <c r="D136" s="127" t="s">
        <v>144</v>
      </c>
      <c r="E136" s="128" t="s">
        <v>1476</v>
      </c>
      <c r="F136" s="129" t="s">
        <v>1475</v>
      </c>
      <c r="G136" s="130" t="s">
        <v>1111</v>
      </c>
      <c r="H136" s="131">
        <v>10</v>
      </c>
      <c r="I136" s="132">
        <v>115</v>
      </c>
      <c r="J136" s="132">
        <f t="shared" si="0"/>
        <v>1150</v>
      </c>
      <c r="K136" s="129" t="s">
        <v>148</v>
      </c>
      <c r="L136" s="27"/>
      <c r="M136" s="133" t="s">
        <v>1</v>
      </c>
      <c r="N136" s="134" t="s">
        <v>39</v>
      </c>
      <c r="O136" s="135">
        <v>0.114</v>
      </c>
      <c r="P136" s="135">
        <f t="shared" si="1"/>
        <v>1.1400000000000001</v>
      </c>
      <c r="Q136" s="135">
        <v>1.1199999999999999E-3</v>
      </c>
      <c r="R136" s="135">
        <f t="shared" si="2"/>
        <v>1.1199999999999998E-2</v>
      </c>
      <c r="S136" s="135">
        <v>0</v>
      </c>
      <c r="T136" s="136">
        <f t="shared" si="3"/>
        <v>0</v>
      </c>
      <c r="AR136" s="137" t="s">
        <v>206</v>
      </c>
      <c r="AT136" s="137" t="s">
        <v>144</v>
      </c>
      <c r="AU136" s="137" t="s">
        <v>143</v>
      </c>
      <c r="AY136" s="15" t="s">
        <v>141</v>
      </c>
      <c r="BE136" s="138">
        <f t="shared" si="4"/>
        <v>0</v>
      </c>
      <c r="BF136" s="138">
        <f t="shared" si="5"/>
        <v>1150</v>
      </c>
      <c r="BG136" s="138">
        <f t="shared" si="6"/>
        <v>0</v>
      </c>
      <c r="BH136" s="138">
        <f t="shared" si="7"/>
        <v>0</v>
      </c>
      <c r="BI136" s="138">
        <f t="shared" si="8"/>
        <v>0</v>
      </c>
      <c r="BJ136" s="15" t="s">
        <v>143</v>
      </c>
      <c r="BK136" s="138">
        <f t="shared" si="9"/>
        <v>1150</v>
      </c>
      <c r="BL136" s="15" t="s">
        <v>206</v>
      </c>
      <c r="BM136" s="137" t="s">
        <v>1549</v>
      </c>
    </row>
    <row r="137" spans="2:65" s="1" customFormat="1" ht="24.2" customHeight="1">
      <c r="B137" s="126"/>
      <c r="C137" s="127" t="s">
        <v>185</v>
      </c>
      <c r="D137" s="127" t="s">
        <v>144</v>
      </c>
      <c r="E137" s="128" t="s">
        <v>1473</v>
      </c>
      <c r="F137" s="129" t="s">
        <v>1472</v>
      </c>
      <c r="G137" s="130" t="s">
        <v>1111</v>
      </c>
      <c r="H137" s="131">
        <v>1</v>
      </c>
      <c r="I137" s="132">
        <v>5350</v>
      </c>
      <c r="J137" s="132">
        <f t="shared" si="0"/>
        <v>5350</v>
      </c>
      <c r="K137" s="129" t="s">
        <v>148</v>
      </c>
      <c r="L137" s="27"/>
      <c r="M137" s="133" t="s">
        <v>1</v>
      </c>
      <c r="N137" s="134" t="s">
        <v>39</v>
      </c>
      <c r="O137" s="135">
        <v>0.16700000000000001</v>
      </c>
      <c r="P137" s="135">
        <f t="shared" si="1"/>
        <v>0.16700000000000001</v>
      </c>
      <c r="Q137" s="135">
        <v>2.8600000000000001E-3</v>
      </c>
      <c r="R137" s="135">
        <f t="shared" si="2"/>
        <v>2.8600000000000001E-3</v>
      </c>
      <c r="S137" s="135">
        <v>0</v>
      </c>
      <c r="T137" s="136">
        <f t="shared" si="3"/>
        <v>0</v>
      </c>
      <c r="AR137" s="137" t="s">
        <v>206</v>
      </c>
      <c r="AT137" s="137" t="s">
        <v>144</v>
      </c>
      <c r="AU137" s="137" t="s">
        <v>143</v>
      </c>
      <c r="AY137" s="15" t="s">
        <v>141</v>
      </c>
      <c r="BE137" s="138">
        <f t="shared" si="4"/>
        <v>0</v>
      </c>
      <c r="BF137" s="138">
        <f t="shared" si="5"/>
        <v>5350</v>
      </c>
      <c r="BG137" s="138">
        <f t="shared" si="6"/>
        <v>0</v>
      </c>
      <c r="BH137" s="138">
        <f t="shared" si="7"/>
        <v>0</v>
      </c>
      <c r="BI137" s="138">
        <f t="shared" si="8"/>
        <v>0</v>
      </c>
      <c r="BJ137" s="15" t="s">
        <v>143</v>
      </c>
      <c r="BK137" s="138">
        <f t="shared" si="9"/>
        <v>5350</v>
      </c>
      <c r="BL137" s="15" t="s">
        <v>206</v>
      </c>
      <c r="BM137" s="137" t="s">
        <v>1548</v>
      </c>
    </row>
    <row r="138" spans="2:65" s="1" customFormat="1" ht="44.25" customHeight="1">
      <c r="B138" s="126"/>
      <c r="C138" s="127" t="s">
        <v>190</v>
      </c>
      <c r="D138" s="127" t="s">
        <v>144</v>
      </c>
      <c r="E138" s="128" t="s">
        <v>1470</v>
      </c>
      <c r="F138" s="129" t="s">
        <v>1469</v>
      </c>
      <c r="G138" s="130" t="s">
        <v>1111</v>
      </c>
      <c r="H138" s="131">
        <v>1</v>
      </c>
      <c r="I138" s="132">
        <v>7950</v>
      </c>
      <c r="J138" s="132">
        <f t="shared" si="0"/>
        <v>7950</v>
      </c>
      <c r="K138" s="129" t="s">
        <v>148</v>
      </c>
      <c r="L138" s="27"/>
      <c r="M138" s="133" t="s">
        <v>1</v>
      </c>
      <c r="N138" s="134" t="s">
        <v>39</v>
      </c>
      <c r="O138" s="135">
        <v>0.8</v>
      </c>
      <c r="P138" s="135">
        <f t="shared" si="1"/>
        <v>0.8</v>
      </c>
      <c r="Q138" s="135">
        <v>1.3270000000000001E-2</v>
      </c>
      <c r="R138" s="135">
        <f t="shared" si="2"/>
        <v>1.3270000000000001E-2</v>
      </c>
      <c r="S138" s="135">
        <v>0</v>
      </c>
      <c r="T138" s="136">
        <f t="shared" si="3"/>
        <v>0</v>
      </c>
      <c r="AR138" s="137" t="s">
        <v>206</v>
      </c>
      <c r="AT138" s="137" t="s">
        <v>144</v>
      </c>
      <c r="AU138" s="137" t="s">
        <v>143</v>
      </c>
      <c r="AY138" s="15" t="s">
        <v>141</v>
      </c>
      <c r="BE138" s="138">
        <f t="shared" si="4"/>
        <v>0</v>
      </c>
      <c r="BF138" s="138">
        <f t="shared" si="5"/>
        <v>7950</v>
      </c>
      <c r="BG138" s="138">
        <f t="shared" si="6"/>
        <v>0</v>
      </c>
      <c r="BH138" s="138">
        <f t="shared" si="7"/>
        <v>0</v>
      </c>
      <c r="BI138" s="138">
        <f t="shared" si="8"/>
        <v>0</v>
      </c>
      <c r="BJ138" s="15" t="s">
        <v>143</v>
      </c>
      <c r="BK138" s="138">
        <f t="shared" si="9"/>
        <v>7950</v>
      </c>
      <c r="BL138" s="15" t="s">
        <v>206</v>
      </c>
      <c r="BM138" s="137" t="s">
        <v>1547</v>
      </c>
    </row>
    <row r="139" spans="2:65" s="1" customFormat="1" ht="24.2" customHeight="1">
      <c r="B139" s="126"/>
      <c r="C139" s="127" t="s">
        <v>195</v>
      </c>
      <c r="D139" s="127" t="s">
        <v>144</v>
      </c>
      <c r="E139" s="128" t="s">
        <v>1467</v>
      </c>
      <c r="F139" s="129" t="s">
        <v>1466</v>
      </c>
      <c r="G139" s="130" t="s">
        <v>1111</v>
      </c>
      <c r="H139" s="131">
        <v>1</v>
      </c>
      <c r="I139" s="132">
        <v>1550</v>
      </c>
      <c r="J139" s="132">
        <f t="shared" si="0"/>
        <v>1550</v>
      </c>
      <c r="K139" s="129" t="s">
        <v>148</v>
      </c>
      <c r="L139" s="27"/>
      <c r="M139" s="133" t="s">
        <v>1</v>
      </c>
      <c r="N139" s="134" t="s">
        <v>39</v>
      </c>
      <c r="O139" s="135">
        <v>0.5</v>
      </c>
      <c r="P139" s="135">
        <f t="shared" si="1"/>
        <v>0.5</v>
      </c>
      <c r="Q139" s="135">
        <v>1.4499999999999999E-3</v>
      </c>
      <c r="R139" s="135">
        <f t="shared" si="2"/>
        <v>1.4499999999999999E-3</v>
      </c>
      <c r="S139" s="135">
        <v>0</v>
      </c>
      <c r="T139" s="136">
        <f t="shared" si="3"/>
        <v>0</v>
      </c>
      <c r="AR139" s="137" t="s">
        <v>206</v>
      </c>
      <c r="AT139" s="137" t="s">
        <v>144</v>
      </c>
      <c r="AU139" s="137" t="s">
        <v>143</v>
      </c>
      <c r="AY139" s="15" t="s">
        <v>141</v>
      </c>
      <c r="BE139" s="138">
        <f t="shared" si="4"/>
        <v>0</v>
      </c>
      <c r="BF139" s="138">
        <f t="shared" si="5"/>
        <v>1550</v>
      </c>
      <c r="BG139" s="138">
        <f t="shared" si="6"/>
        <v>0</v>
      </c>
      <c r="BH139" s="138">
        <f t="shared" si="7"/>
        <v>0</v>
      </c>
      <c r="BI139" s="138">
        <f t="shared" si="8"/>
        <v>0</v>
      </c>
      <c r="BJ139" s="15" t="s">
        <v>143</v>
      </c>
      <c r="BK139" s="138">
        <f t="shared" si="9"/>
        <v>1550</v>
      </c>
      <c r="BL139" s="15" t="s">
        <v>206</v>
      </c>
      <c r="BM139" s="137" t="s">
        <v>1546</v>
      </c>
    </row>
    <row r="140" spans="2:65" s="1" customFormat="1" ht="33" customHeight="1">
      <c r="B140" s="126"/>
      <c r="C140" s="127" t="s">
        <v>199</v>
      </c>
      <c r="D140" s="127" t="s">
        <v>144</v>
      </c>
      <c r="E140" s="128" t="s">
        <v>1464</v>
      </c>
      <c r="F140" s="129" t="s">
        <v>1463</v>
      </c>
      <c r="G140" s="130" t="s">
        <v>147</v>
      </c>
      <c r="H140" s="131">
        <v>1</v>
      </c>
      <c r="I140" s="132">
        <v>1380</v>
      </c>
      <c r="J140" s="132">
        <f t="shared" si="0"/>
        <v>1380</v>
      </c>
      <c r="K140" s="129" t="s">
        <v>148</v>
      </c>
      <c r="L140" s="27"/>
      <c r="M140" s="133" t="s">
        <v>1</v>
      </c>
      <c r="N140" s="134" t="s">
        <v>39</v>
      </c>
      <c r="O140" s="135">
        <v>0.28799999999999998</v>
      </c>
      <c r="P140" s="135">
        <f t="shared" si="1"/>
        <v>0.28799999999999998</v>
      </c>
      <c r="Q140" s="135">
        <v>7.6000000000000004E-4</v>
      </c>
      <c r="R140" s="135">
        <f t="shared" si="2"/>
        <v>7.6000000000000004E-4</v>
      </c>
      <c r="S140" s="135">
        <v>0</v>
      </c>
      <c r="T140" s="136">
        <f t="shared" si="3"/>
        <v>0</v>
      </c>
      <c r="AR140" s="137" t="s">
        <v>206</v>
      </c>
      <c r="AT140" s="137" t="s">
        <v>144</v>
      </c>
      <c r="AU140" s="137" t="s">
        <v>143</v>
      </c>
      <c r="AY140" s="15" t="s">
        <v>141</v>
      </c>
      <c r="BE140" s="138">
        <f t="shared" si="4"/>
        <v>0</v>
      </c>
      <c r="BF140" s="138">
        <f t="shared" si="5"/>
        <v>1380</v>
      </c>
      <c r="BG140" s="138">
        <f t="shared" si="6"/>
        <v>0</v>
      </c>
      <c r="BH140" s="138">
        <f t="shared" si="7"/>
        <v>0</v>
      </c>
      <c r="BI140" s="138">
        <f t="shared" si="8"/>
        <v>0</v>
      </c>
      <c r="BJ140" s="15" t="s">
        <v>143</v>
      </c>
      <c r="BK140" s="138">
        <f t="shared" si="9"/>
        <v>1380</v>
      </c>
      <c r="BL140" s="15" t="s">
        <v>206</v>
      </c>
      <c r="BM140" s="137" t="s">
        <v>1545</v>
      </c>
    </row>
    <row r="141" spans="2:65" s="1" customFormat="1" ht="55.5" customHeight="1">
      <c r="B141" s="126"/>
      <c r="C141" s="127" t="s">
        <v>8</v>
      </c>
      <c r="D141" s="127" t="s">
        <v>144</v>
      </c>
      <c r="E141" s="128" t="s">
        <v>1461</v>
      </c>
      <c r="F141" s="129" t="s">
        <v>1460</v>
      </c>
      <c r="G141" s="130" t="s">
        <v>1111</v>
      </c>
      <c r="H141" s="131">
        <v>1</v>
      </c>
      <c r="I141" s="132">
        <v>12800</v>
      </c>
      <c r="J141" s="132">
        <f t="shared" si="0"/>
        <v>12800</v>
      </c>
      <c r="K141" s="129" t="s">
        <v>1</v>
      </c>
      <c r="L141" s="27"/>
      <c r="M141" s="133" t="s">
        <v>1</v>
      </c>
      <c r="N141" s="134" t="s">
        <v>39</v>
      </c>
      <c r="O141" s="135">
        <v>0.51200000000000001</v>
      </c>
      <c r="P141" s="135">
        <f t="shared" si="1"/>
        <v>0.51200000000000001</v>
      </c>
      <c r="Q141" s="135">
        <v>3.2799999999999999E-3</v>
      </c>
      <c r="R141" s="135">
        <f t="shared" si="2"/>
        <v>3.2799999999999999E-3</v>
      </c>
      <c r="S141" s="135">
        <v>0</v>
      </c>
      <c r="T141" s="136">
        <f t="shared" si="3"/>
        <v>0</v>
      </c>
      <c r="AR141" s="137" t="s">
        <v>206</v>
      </c>
      <c r="AT141" s="137" t="s">
        <v>144</v>
      </c>
      <c r="AU141" s="137" t="s">
        <v>143</v>
      </c>
      <c r="AY141" s="15" t="s">
        <v>141</v>
      </c>
      <c r="BE141" s="138">
        <f t="shared" si="4"/>
        <v>0</v>
      </c>
      <c r="BF141" s="138">
        <f t="shared" si="5"/>
        <v>12800</v>
      </c>
      <c r="BG141" s="138">
        <f t="shared" si="6"/>
        <v>0</v>
      </c>
      <c r="BH141" s="138">
        <f t="shared" si="7"/>
        <v>0</v>
      </c>
      <c r="BI141" s="138">
        <f t="shared" si="8"/>
        <v>0</v>
      </c>
      <c r="BJ141" s="15" t="s">
        <v>143</v>
      </c>
      <c r="BK141" s="138">
        <f t="shared" si="9"/>
        <v>12800</v>
      </c>
      <c r="BL141" s="15" t="s">
        <v>206</v>
      </c>
      <c r="BM141" s="137" t="s">
        <v>1544</v>
      </c>
    </row>
    <row r="142" spans="2:65" s="1" customFormat="1" ht="55.5" customHeight="1">
      <c r="B142" s="126"/>
      <c r="C142" s="127" t="s">
        <v>206</v>
      </c>
      <c r="D142" s="127" t="s">
        <v>144</v>
      </c>
      <c r="E142" s="128" t="s">
        <v>1458</v>
      </c>
      <c r="F142" s="129" t="s">
        <v>1457</v>
      </c>
      <c r="G142" s="130" t="s">
        <v>1111</v>
      </c>
      <c r="H142" s="131">
        <v>2</v>
      </c>
      <c r="I142" s="132">
        <v>5890</v>
      </c>
      <c r="J142" s="132">
        <f t="shared" si="0"/>
        <v>11780</v>
      </c>
      <c r="K142" s="129" t="s">
        <v>148</v>
      </c>
      <c r="L142" s="27"/>
      <c r="M142" s="133" t="s">
        <v>1</v>
      </c>
      <c r="N142" s="134" t="s">
        <v>39</v>
      </c>
      <c r="O142" s="135">
        <v>0.60499999999999998</v>
      </c>
      <c r="P142" s="135">
        <f t="shared" si="1"/>
        <v>1.21</v>
      </c>
      <c r="Q142" s="135">
        <v>3.3899999999999998E-3</v>
      </c>
      <c r="R142" s="135">
        <f t="shared" si="2"/>
        <v>6.7799999999999996E-3</v>
      </c>
      <c r="S142" s="135">
        <v>0</v>
      </c>
      <c r="T142" s="136">
        <f t="shared" si="3"/>
        <v>0</v>
      </c>
      <c r="AR142" s="137" t="s">
        <v>206</v>
      </c>
      <c r="AT142" s="137" t="s">
        <v>144</v>
      </c>
      <c r="AU142" s="137" t="s">
        <v>143</v>
      </c>
      <c r="AY142" s="15" t="s">
        <v>141</v>
      </c>
      <c r="BE142" s="138">
        <f t="shared" si="4"/>
        <v>0</v>
      </c>
      <c r="BF142" s="138">
        <f t="shared" si="5"/>
        <v>11780</v>
      </c>
      <c r="BG142" s="138">
        <f t="shared" si="6"/>
        <v>0</v>
      </c>
      <c r="BH142" s="138">
        <f t="shared" si="7"/>
        <v>0</v>
      </c>
      <c r="BI142" s="138">
        <f t="shared" si="8"/>
        <v>0</v>
      </c>
      <c r="BJ142" s="15" t="s">
        <v>143</v>
      </c>
      <c r="BK142" s="138">
        <f t="shared" si="9"/>
        <v>11780</v>
      </c>
      <c r="BL142" s="15" t="s">
        <v>206</v>
      </c>
      <c r="BM142" s="137" t="s">
        <v>1543</v>
      </c>
    </row>
    <row r="143" spans="2:65" s="1" customFormat="1" ht="55.5" customHeight="1">
      <c r="B143" s="126"/>
      <c r="C143" s="127" t="s">
        <v>211</v>
      </c>
      <c r="D143" s="127" t="s">
        <v>144</v>
      </c>
      <c r="E143" s="128" t="s">
        <v>1455</v>
      </c>
      <c r="F143" s="129" t="s">
        <v>1454</v>
      </c>
      <c r="G143" s="130" t="s">
        <v>1111</v>
      </c>
      <c r="H143" s="131">
        <v>1</v>
      </c>
      <c r="I143" s="132">
        <v>28200</v>
      </c>
      <c r="J143" s="132">
        <f t="shared" si="0"/>
        <v>28200</v>
      </c>
      <c r="K143" s="129" t="s">
        <v>148</v>
      </c>
      <c r="L143" s="27"/>
      <c r="M143" s="133" t="s">
        <v>1</v>
      </c>
      <c r="N143" s="134" t="s">
        <v>39</v>
      </c>
      <c r="O143" s="135">
        <v>0.97799999999999998</v>
      </c>
      <c r="P143" s="135">
        <f t="shared" si="1"/>
        <v>0.97799999999999998</v>
      </c>
      <c r="Q143" s="135">
        <v>1.354E-2</v>
      </c>
      <c r="R143" s="135">
        <f t="shared" si="2"/>
        <v>1.354E-2</v>
      </c>
      <c r="S143" s="135">
        <v>0</v>
      </c>
      <c r="T143" s="136">
        <f t="shared" si="3"/>
        <v>0</v>
      </c>
      <c r="AR143" s="137" t="s">
        <v>206</v>
      </c>
      <c r="AT143" s="137" t="s">
        <v>144</v>
      </c>
      <c r="AU143" s="137" t="s">
        <v>143</v>
      </c>
      <c r="AY143" s="15" t="s">
        <v>141</v>
      </c>
      <c r="BE143" s="138">
        <f t="shared" si="4"/>
        <v>0</v>
      </c>
      <c r="BF143" s="138">
        <f t="shared" si="5"/>
        <v>28200</v>
      </c>
      <c r="BG143" s="138">
        <f t="shared" si="6"/>
        <v>0</v>
      </c>
      <c r="BH143" s="138">
        <f t="shared" si="7"/>
        <v>0</v>
      </c>
      <c r="BI143" s="138">
        <f t="shared" si="8"/>
        <v>0</v>
      </c>
      <c r="BJ143" s="15" t="s">
        <v>143</v>
      </c>
      <c r="BK143" s="138">
        <f t="shared" si="9"/>
        <v>28200</v>
      </c>
      <c r="BL143" s="15" t="s">
        <v>206</v>
      </c>
      <c r="BM143" s="137" t="s">
        <v>1542</v>
      </c>
    </row>
    <row r="144" spans="2:65" s="1" customFormat="1" ht="24.2" customHeight="1">
      <c r="B144" s="126"/>
      <c r="C144" s="127" t="s">
        <v>215</v>
      </c>
      <c r="D144" s="127" t="s">
        <v>144</v>
      </c>
      <c r="E144" s="128" t="s">
        <v>1452</v>
      </c>
      <c r="F144" s="129" t="s">
        <v>1451</v>
      </c>
      <c r="G144" s="130" t="s">
        <v>1111</v>
      </c>
      <c r="H144" s="131">
        <v>2</v>
      </c>
      <c r="I144" s="132">
        <v>211500</v>
      </c>
      <c r="J144" s="132">
        <f t="shared" si="0"/>
        <v>423000</v>
      </c>
      <c r="K144" s="129" t="s">
        <v>148</v>
      </c>
      <c r="L144" s="27"/>
      <c r="M144" s="133" t="s">
        <v>1</v>
      </c>
      <c r="N144" s="134" t="s">
        <v>39</v>
      </c>
      <c r="O144" s="135">
        <v>3.3090000000000002</v>
      </c>
      <c r="P144" s="135">
        <f t="shared" si="1"/>
        <v>6.6180000000000003</v>
      </c>
      <c r="Q144" s="135">
        <v>0.2339</v>
      </c>
      <c r="R144" s="135">
        <f t="shared" si="2"/>
        <v>0.46779999999999999</v>
      </c>
      <c r="S144" s="135">
        <v>0</v>
      </c>
      <c r="T144" s="136">
        <f t="shared" si="3"/>
        <v>0</v>
      </c>
      <c r="AR144" s="137" t="s">
        <v>206</v>
      </c>
      <c r="AT144" s="137" t="s">
        <v>144</v>
      </c>
      <c r="AU144" s="137" t="s">
        <v>143</v>
      </c>
      <c r="AY144" s="15" t="s">
        <v>141</v>
      </c>
      <c r="BE144" s="138">
        <f t="shared" si="4"/>
        <v>0</v>
      </c>
      <c r="BF144" s="138">
        <f t="shared" si="5"/>
        <v>423000</v>
      </c>
      <c r="BG144" s="138">
        <f t="shared" si="6"/>
        <v>0</v>
      </c>
      <c r="BH144" s="138">
        <f t="shared" si="7"/>
        <v>0</v>
      </c>
      <c r="BI144" s="138">
        <f t="shared" si="8"/>
        <v>0</v>
      </c>
      <c r="BJ144" s="15" t="s">
        <v>143</v>
      </c>
      <c r="BK144" s="138">
        <f t="shared" si="9"/>
        <v>423000</v>
      </c>
      <c r="BL144" s="15" t="s">
        <v>206</v>
      </c>
      <c r="BM144" s="137" t="s">
        <v>1541</v>
      </c>
    </row>
    <row r="145" spans="2:65" s="1" customFormat="1" ht="33" customHeight="1">
      <c r="B145" s="126"/>
      <c r="C145" s="127" t="s">
        <v>217</v>
      </c>
      <c r="D145" s="127" t="s">
        <v>144</v>
      </c>
      <c r="E145" s="128" t="s">
        <v>1449</v>
      </c>
      <c r="F145" s="129" t="s">
        <v>1448</v>
      </c>
      <c r="G145" s="130" t="s">
        <v>1111</v>
      </c>
      <c r="H145" s="131">
        <v>1</v>
      </c>
      <c r="I145" s="132">
        <v>60600</v>
      </c>
      <c r="J145" s="132">
        <f t="shared" si="0"/>
        <v>60600</v>
      </c>
      <c r="K145" s="129" t="s">
        <v>148</v>
      </c>
      <c r="L145" s="27"/>
      <c r="M145" s="133" t="s">
        <v>1</v>
      </c>
      <c r="N145" s="134" t="s">
        <v>39</v>
      </c>
      <c r="O145" s="135">
        <v>6.6970000000000001</v>
      </c>
      <c r="P145" s="135">
        <f t="shared" si="1"/>
        <v>6.6970000000000001</v>
      </c>
      <c r="Q145" s="135">
        <v>0.14741000000000001</v>
      </c>
      <c r="R145" s="135">
        <f t="shared" si="2"/>
        <v>0.14741000000000001</v>
      </c>
      <c r="S145" s="135">
        <v>0</v>
      </c>
      <c r="T145" s="136">
        <f t="shared" si="3"/>
        <v>0</v>
      </c>
      <c r="AR145" s="137" t="s">
        <v>206</v>
      </c>
      <c r="AT145" s="137" t="s">
        <v>144</v>
      </c>
      <c r="AU145" s="137" t="s">
        <v>143</v>
      </c>
      <c r="AY145" s="15" t="s">
        <v>141</v>
      </c>
      <c r="BE145" s="138">
        <f t="shared" si="4"/>
        <v>0</v>
      </c>
      <c r="BF145" s="138">
        <f t="shared" si="5"/>
        <v>60600</v>
      </c>
      <c r="BG145" s="138">
        <f t="shared" si="6"/>
        <v>0</v>
      </c>
      <c r="BH145" s="138">
        <f t="shared" si="7"/>
        <v>0</v>
      </c>
      <c r="BI145" s="138">
        <f t="shared" si="8"/>
        <v>0</v>
      </c>
      <c r="BJ145" s="15" t="s">
        <v>143</v>
      </c>
      <c r="BK145" s="138">
        <f t="shared" si="9"/>
        <v>60600</v>
      </c>
      <c r="BL145" s="15" t="s">
        <v>206</v>
      </c>
      <c r="BM145" s="137" t="s">
        <v>1540</v>
      </c>
    </row>
    <row r="146" spans="2:65" s="1" customFormat="1" ht="24.2" customHeight="1">
      <c r="B146" s="126"/>
      <c r="C146" s="127" t="s">
        <v>221</v>
      </c>
      <c r="D146" s="127" t="s">
        <v>144</v>
      </c>
      <c r="E146" s="128" t="s">
        <v>1446</v>
      </c>
      <c r="F146" s="129" t="s">
        <v>1445</v>
      </c>
      <c r="G146" s="130" t="s">
        <v>1111</v>
      </c>
      <c r="H146" s="131">
        <v>1</v>
      </c>
      <c r="I146" s="132">
        <v>69100</v>
      </c>
      <c r="J146" s="132">
        <f t="shared" si="0"/>
        <v>69100</v>
      </c>
      <c r="K146" s="129" t="s">
        <v>148</v>
      </c>
      <c r="L146" s="27"/>
      <c r="M146" s="133" t="s">
        <v>1</v>
      </c>
      <c r="N146" s="134" t="s">
        <v>39</v>
      </c>
      <c r="O146" s="135">
        <v>7.3529999999999998</v>
      </c>
      <c r="P146" s="135">
        <f t="shared" si="1"/>
        <v>7.3529999999999998</v>
      </c>
      <c r="Q146" s="135">
        <v>0.16471</v>
      </c>
      <c r="R146" s="135">
        <f t="shared" si="2"/>
        <v>0.16471</v>
      </c>
      <c r="S146" s="135">
        <v>0</v>
      </c>
      <c r="T146" s="136">
        <f t="shared" si="3"/>
        <v>0</v>
      </c>
      <c r="AR146" s="137" t="s">
        <v>206</v>
      </c>
      <c r="AT146" s="137" t="s">
        <v>144</v>
      </c>
      <c r="AU146" s="137" t="s">
        <v>143</v>
      </c>
      <c r="AY146" s="15" t="s">
        <v>141</v>
      </c>
      <c r="BE146" s="138">
        <f t="shared" si="4"/>
        <v>0</v>
      </c>
      <c r="BF146" s="138">
        <f t="shared" si="5"/>
        <v>69100</v>
      </c>
      <c r="BG146" s="138">
        <f t="shared" si="6"/>
        <v>0</v>
      </c>
      <c r="BH146" s="138">
        <f t="shared" si="7"/>
        <v>0</v>
      </c>
      <c r="BI146" s="138">
        <f t="shared" si="8"/>
        <v>0</v>
      </c>
      <c r="BJ146" s="15" t="s">
        <v>143</v>
      </c>
      <c r="BK146" s="138">
        <f t="shared" si="9"/>
        <v>69100</v>
      </c>
      <c r="BL146" s="15" t="s">
        <v>206</v>
      </c>
      <c r="BM146" s="137" t="s">
        <v>1539</v>
      </c>
    </row>
    <row r="147" spans="2:65" s="1" customFormat="1" ht="44.25" customHeight="1">
      <c r="B147" s="126"/>
      <c r="C147" s="127" t="s">
        <v>7</v>
      </c>
      <c r="D147" s="127" t="s">
        <v>144</v>
      </c>
      <c r="E147" s="128" t="s">
        <v>1443</v>
      </c>
      <c r="F147" s="129" t="s">
        <v>1442</v>
      </c>
      <c r="G147" s="130" t="s">
        <v>179</v>
      </c>
      <c r="H147" s="131">
        <v>0.86799999999999999</v>
      </c>
      <c r="I147" s="132">
        <v>1900</v>
      </c>
      <c r="J147" s="132">
        <f t="shared" si="0"/>
        <v>1649.2</v>
      </c>
      <c r="K147" s="129" t="s">
        <v>148</v>
      </c>
      <c r="L147" s="27"/>
      <c r="M147" s="133" t="s">
        <v>1</v>
      </c>
      <c r="N147" s="134" t="s">
        <v>39</v>
      </c>
      <c r="O147" s="135">
        <v>4.0430000000000001</v>
      </c>
      <c r="P147" s="135">
        <f t="shared" si="1"/>
        <v>3.5093239999999999</v>
      </c>
      <c r="Q147" s="135">
        <v>0</v>
      </c>
      <c r="R147" s="135">
        <f t="shared" si="2"/>
        <v>0</v>
      </c>
      <c r="S147" s="135">
        <v>0</v>
      </c>
      <c r="T147" s="136">
        <f t="shared" si="3"/>
        <v>0</v>
      </c>
      <c r="AR147" s="137" t="s">
        <v>206</v>
      </c>
      <c r="AT147" s="137" t="s">
        <v>144</v>
      </c>
      <c r="AU147" s="137" t="s">
        <v>143</v>
      </c>
      <c r="AY147" s="15" t="s">
        <v>141</v>
      </c>
      <c r="BE147" s="138">
        <f t="shared" si="4"/>
        <v>0</v>
      </c>
      <c r="BF147" s="138">
        <f t="shared" si="5"/>
        <v>1649.2</v>
      </c>
      <c r="BG147" s="138">
        <f t="shared" si="6"/>
        <v>0</v>
      </c>
      <c r="BH147" s="138">
        <f t="shared" si="7"/>
        <v>0</v>
      </c>
      <c r="BI147" s="138">
        <f t="shared" si="8"/>
        <v>0</v>
      </c>
      <c r="BJ147" s="15" t="s">
        <v>143</v>
      </c>
      <c r="BK147" s="138">
        <f t="shared" si="9"/>
        <v>1649.2</v>
      </c>
      <c r="BL147" s="15" t="s">
        <v>206</v>
      </c>
      <c r="BM147" s="137" t="s">
        <v>1538</v>
      </c>
    </row>
    <row r="148" spans="2:65" s="11" customFormat="1" ht="22.9" customHeight="1">
      <c r="B148" s="115"/>
      <c r="D148" s="116" t="s">
        <v>72</v>
      </c>
      <c r="E148" s="124" t="s">
        <v>1440</v>
      </c>
      <c r="F148" s="124" t="s">
        <v>1439</v>
      </c>
      <c r="J148" s="125">
        <f>BK148</f>
        <v>285145.90000000002</v>
      </c>
      <c r="L148" s="115"/>
      <c r="M148" s="119"/>
      <c r="P148" s="120">
        <f>SUM(P149:P164)</f>
        <v>161.22612599999999</v>
      </c>
      <c r="R148" s="120">
        <f>SUM(R149:R164)</f>
        <v>0.40149999999999997</v>
      </c>
      <c r="T148" s="121">
        <f>SUM(T149:T164)</f>
        <v>0</v>
      </c>
      <c r="AR148" s="116" t="s">
        <v>143</v>
      </c>
      <c r="AT148" s="122" t="s">
        <v>72</v>
      </c>
      <c r="AU148" s="122" t="s">
        <v>81</v>
      </c>
      <c r="AY148" s="116" t="s">
        <v>141</v>
      </c>
      <c r="BK148" s="123">
        <f>SUM(BK149:BK164)</f>
        <v>285145.90000000002</v>
      </c>
    </row>
    <row r="149" spans="2:65" s="1" customFormat="1" ht="24.2" customHeight="1">
      <c r="B149" s="126"/>
      <c r="C149" s="127" t="s">
        <v>228</v>
      </c>
      <c r="D149" s="127" t="s">
        <v>144</v>
      </c>
      <c r="E149" s="128" t="s">
        <v>1438</v>
      </c>
      <c r="F149" s="129" t="s">
        <v>1437</v>
      </c>
      <c r="G149" s="130" t="s">
        <v>193</v>
      </c>
      <c r="H149" s="131">
        <v>80</v>
      </c>
      <c r="I149" s="132">
        <v>435</v>
      </c>
      <c r="J149" s="132">
        <f t="shared" ref="J149:J164" si="10">ROUND(I149*H149,2)</f>
        <v>34800</v>
      </c>
      <c r="K149" s="129" t="s">
        <v>148</v>
      </c>
      <c r="L149" s="27"/>
      <c r="M149" s="133" t="s">
        <v>1</v>
      </c>
      <c r="N149" s="134" t="s">
        <v>39</v>
      </c>
      <c r="O149" s="135">
        <v>0.41399999999999998</v>
      </c>
      <c r="P149" s="135">
        <f t="shared" ref="P149:P164" si="11">O149*H149</f>
        <v>33.119999999999997</v>
      </c>
      <c r="Q149" s="135">
        <v>4.8000000000000001E-4</v>
      </c>
      <c r="R149" s="135">
        <f t="shared" ref="R149:R164" si="12">Q149*H149</f>
        <v>3.8400000000000004E-2</v>
      </c>
      <c r="S149" s="135">
        <v>0</v>
      </c>
      <c r="T149" s="136">
        <f t="shared" ref="T149:T164" si="13">S149*H149</f>
        <v>0</v>
      </c>
      <c r="AR149" s="137" t="s">
        <v>206</v>
      </c>
      <c r="AT149" s="137" t="s">
        <v>144</v>
      </c>
      <c r="AU149" s="137" t="s">
        <v>143</v>
      </c>
      <c r="AY149" s="15" t="s">
        <v>141</v>
      </c>
      <c r="BE149" s="138">
        <f t="shared" ref="BE149:BE164" si="14">IF(N149="základní",J149,0)</f>
        <v>0</v>
      </c>
      <c r="BF149" s="138">
        <f t="shared" ref="BF149:BF164" si="15">IF(N149="snížená",J149,0)</f>
        <v>34800</v>
      </c>
      <c r="BG149" s="138">
        <f t="shared" ref="BG149:BG164" si="16">IF(N149="zákl. přenesená",J149,0)</f>
        <v>0</v>
      </c>
      <c r="BH149" s="138">
        <f t="shared" ref="BH149:BH164" si="17">IF(N149="sníž. přenesená",J149,0)</f>
        <v>0</v>
      </c>
      <c r="BI149" s="138">
        <f t="shared" ref="BI149:BI164" si="18">IF(N149="nulová",J149,0)</f>
        <v>0</v>
      </c>
      <c r="BJ149" s="15" t="s">
        <v>143</v>
      </c>
      <c r="BK149" s="138">
        <f t="shared" ref="BK149:BK164" si="19">ROUND(I149*H149,2)</f>
        <v>34800</v>
      </c>
      <c r="BL149" s="15" t="s">
        <v>206</v>
      </c>
      <c r="BM149" s="137" t="s">
        <v>1436</v>
      </c>
    </row>
    <row r="150" spans="2:65" s="1" customFormat="1" ht="24.2" customHeight="1">
      <c r="B150" s="126"/>
      <c r="C150" s="127" t="s">
        <v>232</v>
      </c>
      <c r="D150" s="127" t="s">
        <v>144</v>
      </c>
      <c r="E150" s="128" t="s">
        <v>1435</v>
      </c>
      <c r="F150" s="129" t="s">
        <v>1434</v>
      </c>
      <c r="G150" s="130" t="s">
        <v>193</v>
      </c>
      <c r="H150" s="131">
        <v>30</v>
      </c>
      <c r="I150" s="132">
        <v>560</v>
      </c>
      <c r="J150" s="132">
        <f t="shared" si="10"/>
        <v>16800</v>
      </c>
      <c r="K150" s="129" t="s">
        <v>148</v>
      </c>
      <c r="L150" s="27"/>
      <c r="M150" s="133" t="s">
        <v>1</v>
      </c>
      <c r="N150" s="134" t="s">
        <v>39</v>
      </c>
      <c r="O150" s="135">
        <v>0.42899999999999999</v>
      </c>
      <c r="P150" s="135">
        <f t="shared" si="11"/>
        <v>12.87</v>
      </c>
      <c r="Q150" s="135">
        <v>7.5000000000000002E-4</v>
      </c>
      <c r="R150" s="135">
        <f t="shared" si="12"/>
        <v>2.2499999999999999E-2</v>
      </c>
      <c r="S150" s="135">
        <v>0</v>
      </c>
      <c r="T150" s="136">
        <f t="shared" si="13"/>
        <v>0</v>
      </c>
      <c r="AR150" s="137" t="s">
        <v>206</v>
      </c>
      <c r="AT150" s="137" t="s">
        <v>144</v>
      </c>
      <c r="AU150" s="137" t="s">
        <v>143</v>
      </c>
      <c r="AY150" s="15" t="s">
        <v>141</v>
      </c>
      <c r="BE150" s="138">
        <f t="shared" si="14"/>
        <v>0</v>
      </c>
      <c r="BF150" s="138">
        <f t="shared" si="15"/>
        <v>16800</v>
      </c>
      <c r="BG150" s="138">
        <f t="shared" si="16"/>
        <v>0</v>
      </c>
      <c r="BH150" s="138">
        <f t="shared" si="17"/>
        <v>0</v>
      </c>
      <c r="BI150" s="138">
        <f t="shared" si="18"/>
        <v>0</v>
      </c>
      <c r="BJ150" s="15" t="s">
        <v>143</v>
      </c>
      <c r="BK150" s="138">
        <f t="shared" si="19"/>
        <v>16800</v>
      </c>
      <c r="BL150" s="15" t="s">
        <v>206</v>
      </c>
      <c r="BM150" s="137" t="s">
        <v>1433</v>
      </c>
    </row>
    <row r="151" spans="2:65" s="1" customFormat="1" ht="24.2" customHeight="1">
      <c r="B151" s="126"/>
      <c r="C151" s="127" t="s">
        <v>236</v>
      </c>
      <c r="D151" s="127" t="s">
        <v>144</v>
      </c>
      <c r="E151" s="128" t="s">
        <v>1432</v>
      </c>
      <c r="F151" s="129" t="s">
        <v>1431</v>
      </c>
      <c r="G151" s="130" t="s">
        <v>193</v>
      </c>
      <c r="H151" s="131">
        <v>20</v>
      </c>
      <c r="I151" s="132">
        <v>789</v>
      </c>
      <c r="J151" s="132">
        <f t="shared" si="10"/>
        <v>15780</v>
      </c>
      <c r="K151" s="129" t="s">
        <v>148</v>
      </c>
      <c r="L151" s="27"/>
      <c r="M151" s="133" t="s">
        <v>1</v>
      </c>
      <c r="N151" s="134" t="s">
        <v>39</v>
      </c>
      <c r="O151" s="135">
        <v>0.438</v>
      </c>
      <c r="P151" s="135">
        <f t="shared" si="11"/>
        <v>8.76</v>
      </c>
      <c r="Q151" s="135">
        <v>1.2899999999999999E-3</v>
      </c>
      <c r="R151" s="135">
        <f t="shared" si="12"/>
        <v>2.5799999999999997E-2</v>
      </c>
      <c r="S151" s="135">
        <v>0</v>
      </c>
      <c r="T151" s="136">
        <f t="shared" si="13"/>
        <v>0</v>
      </c>
      <c r="AR151" s="137" t="s">
        <v>206</v>
      </c>
      <c r="AT151" s="137" t="s">
        <v>144</v>
      </c>
      <c r="AU151" s="137" t="s">
        <v>143</v>
      </c>
      <c r="AY151" s="15" t="s">
        <v>141</v>
      </c>
      <c r="BE151" s="138">
        <f t="shared" si="14"/>
        <v>0</v>
      </c>
      <c r="BF151" s="138">
        <f t="shared" si="15"/>
        <v>15780</v>
      </c>
      <c r="BG151" s="138">
        <f t="shared" si="16"/>
        <v>0</v>
      </c>
      <c r="BH151" s="138">
        <f t="shared" si="17"/>
        <v>0</v>
      </c>
      <c r="BI151" s="138">
        <f t="shared" si="18"/>
        <v>0</v>
      </c>
      <c r="BJ151" s="15" t="s">
        <v>143</v>
      </c>
      <c r="BK151" s="138">
        <f t="shared" si="19"/>
        <v>15780</v>
      </c>
      <c r="BL151" s="15" t="s">
        <v>206</v>
      </c>
      <c r="BM151" s="137" t="s">
        <v>1430</v>
      </c>
    </row>
    <row r="152" spans="2:65" s="1" customFormat="1" ht="24.2" customHeight="1">
      <c r="B152" s="126"/>
      <c r="C152" s="127" t="s">
        <v>240</v>
      </c>
      <c r="D152" s="127" t="s">
        <v>144</v>
      </c>
      <c r="E152" s="128" t="s">
        <v>1429</v>
      </c>
      <c r="F152" s="129" t="s">
        <v>1428</v>
      </c>
      <c r="G152" s="130" t="s">
        <v>193</v>
      </c>
      <c r="H152" s="131">
        <v>100</v>
      </c>
      <c r="I152" s="132">
        <v>1070</v>
      </c>
      <c r="J152" s="132">
        <f t="shared" si="10"/>
        <v>107000</v>
      </c>
      <c r="K152" s="129" t="s">
        <v>148</v>
      </c>
      <c r="L152" s="27"/>
      <c r="M152" s="133" t="s">
        <v>1</v>
      </c>
      <c r="N152" s="134" t="s">
        <v>39</v>
      </c>
      <c r="O152" s="135">
        <v>0.443</v>
      </c>
      <c r="P152" s="135">
        <f t="shared" si="11"/>
        <v>44.3</v>
      </c>
      <c r="Q152" s="135">
        <v>1.6100000000000001E-3</v>
      </c>
      <c r="R152" s="135">
        <f t="shared" si="12"/>
        <v>0.161</v>
      </c>
      <c r="S152" s="135">
        <v>0</v>
      </c>
      <c r="T152" s="136">
        <f t="shared" si="13"/>
        <v>0</v>
      </c>
      <c r="AR152" s="137" t="s">
        <v>206</v>
      </c>
      <c r="AT152" s="137" t="s">
        <v>144</v>
      </c>
      <c r="AU152" s="137" t="s">
        <v>143</v>
      </c>
      <c r="AY152" s="15" t="s">
        <v>141</v>
      </c>
      <c r="BE152" s="138">
        <f t="shared" si="14"/>
        <v>0</v>
      </c>
      <c r="BF152" s="138">
        <f t="shared" si="15"/>
        <v>107000</v>
      </c>
      <c r="BG152" s="138">
        <f t="shared" si="16"/>
        <v>0</v>
      </c>
      <c r="BH152" s="138">
        <f t="shared" si="17"/>
        <v>0</v>
      </c>
      <c r="BI152" s="138">
        <f t="shared" si="18"/>
        <v>0</v>
      </c>
      <c r="BJ152" s="15" t="s">
        <v>143</v>
      </c>
      <c r="BK152" s="138">
        <f t="shared" si="19"/>
        <v>107000</v>
      </c>
      <c r="BL152" s="15" t="s">
        <v>206</v>
      </c>
      <c r="BM152" s="137" t="s">
        <v>1427</v>
      </c>
    </row>
    <row r="153" spans="2:65" s="1" customFormat="1" ht="24.2" customHeight="1">
      <c r="B153" s="126"/>
      <c r="C153" s="127" t="s">
        <v>244</v>
      </c>
      <c r="D153" s="127" t="s">
        <v>144</v>
      </c>
      <c r="E153" s="128" t="s">
        <v>1426</v>
      </c>
      <c r="F153" s="129" t="s">
        <v>1425</v>
      </c>
      <c r="G153" s="130" t="s">
        <v>193</v>
      </c>
      <c r="H153" s="131">
        <v>20</v>
      </c>
      <c r="I153" s="132">
        <v>2260</v>
      </c>
      <c r="J153" s="132">
        <f t="shared" si="10"/>
        <v>45200</v>
      </c>
      <c r="K153" s="129" t="s">
        <v>148</v>
      </c>
      <c r="L153" s="27"/>
      <c r="M153" s="133" t="s">
        <v>1</v>
      </c>
      <c r="N153" s="134" t="s">
        <v>39</v>
      </c>
      <c r="O153" s="135">
        <v>0.50600000000000001</v>
      </c>
      <c r="P153" s="135">
        <f t="shared" si="11"/>
        <v>10.120000000000001</v>
      </c>
      <c r="Q153" s="135">
        <v>3.3800000000000002E-3</v>
      </c>
      <c r="R153" s="135">
        <f t="shared" si="12"/>
        <v>6.7600000000000007E-2</v>
      </c>
      <c r="S153" s="135">
        <v>0</v>
      </c>
      <c r="T153" s="136">
        <f t="shared" si="13"/>
        <v>0</v>
      </c>
      <c r="AR153" s="137" t="s">
        <v>206</v>
      </c>
      <c r="AT153" s="137" t="s">
        <v>144</v>
      </c>
      <c r="AU153" s="137" t="s">
        <v>143</v>
      </c>
      <c r="AY153" s="15" t="s">
        <v>141</v>
      </c>
      <c r="BE153" s="138">
        <f t="shared" si="14"/>
        <v>0</v>
      </c>
      <c r="BF153" s="138">
        <f t="shared" si="15"/>
        <v>45200</v>
      </c>
      <c r="BG153" s="138">
        <f t="shared" si="16"/>
        <v>0</v>
      </c>
      <c r="BH153" s="138">
        <f t="shared" si="17"/>
        <v>0</v>
      </c>
      <c r="BI153" s="138">
        <f t="shared" si="18"/>
        <v>0</v>
      </c>
      <c r="BJ153" s="15" t="s">
        <v>143</v>
      </c>
      <c r="BK153" s="138">
        <f t="shared" si="19"/>
        <v>45200</v>
      </c>
      <c r="BL153" s="15" t="s">
        <v>206</v>
      </c>
      <c r="BM153" s="137" t="s">
        <v>1424</v>
      </c>
    </row>
    <row r="154" spans="2:65" s="1" customFormat="1" ht="24.2" customHeight="1">
      <c r="B154" s="126"/>
      <c r="C154" s="127" t="s">
        <v>249</v>
      </c>
      <c r="D154" s="127" t="s">
        <v>144</v>
      </c>
      <c r="E154" s="128" t="s">
        <v>1423</v>
      </c>
      <c r="F154" s="129" t="s">
        <v>1422</v>
      </c>
      <c r="G154" s="130" t="s">
        <v>147</v>
      </c>
      <c r="H154" s="131">
        <v>14</v>
      </c>
      <c r="I154" s="132">
        <v>199</v>
      </c>
      <c r="J154" s="132">
        <f t="shared" si="10"/>
        <v>2786</v>
      </c>
      <c r="K154" s="129" t="s">
        <v>148</v>
      </c>
      <c r="L154" s="27"/>
      <c r="M154" s="133" t="s">
        <v>1</v>
      </c>
      <c r="N154" s="134" t="s">
        <v>39</v>
      </c>
      <c r="O154" s="135">
        <v>0.33500000000000002</v>
      </c>
      <c r="P154" s="135">
        <f t="shared" si="11"/>
        <v>4.6900000000000004</v>
      </c>
      <c r="Q154" s="135">
        <v>1.0000000000000001E-5</v>
      </c>
      <c r="R154" s="135">
        <f t="shared" si="12"/>
        <v>1.4000000000000001E-4</v>
      </c>
      <c r="S154" s="135">
        <v>0</v>
      </c>
      <c r="T154" s="136">
        <f t="shared" si="13"/>
        <v>0</v>
      </c>
      <c r="AR154" s="137" t="s">
        <v>206</v>
      </c>
      <c r="AT154" s="137" t="s">
        <v>144</v>
      </c>
      <c r="AU154" s="137" t="s">
        <v>143</v>
      </c>
      <c r="AY154" s="15" t="s">
        <v>141</v>
      </c>
      <c r="BE154" s="138">
        <f t="shared" si="14"/>
        <v>0</v>
      </c>
      <c r="BF154" s="138">
        <f t="shared" si="15"/>
        <v>2786</v>
      </c>
      <c r="BG154" s="138">
        <f t="shared" si="16"/>
        <v>0</v>
      </c>
      <c r="BH154" s="138">
        <f t="shared" si="17"/>
        <v>0</v>
      </c>
      <c r="BI154" s="138">
        <f t="shared" si="18"/>
        <v>0</v>
      </c>
      <c r="BJ154" s="15" t="s">
        <v>143</v>
      </c>
      <c r="BK154" s="138">
        <f t="shared" si="19"/>
        <v>2786</v>
      </c>
      <c r="BL154" s="15" t="s">
        <v>206</v>
      </c>
      <c r="BM154" s="137" t="s">
        <v>1421</v>
      </c>
    </row>
    <row r="155" spans="2:65" s="1" customFormat="1" ht="24.2" customHeight="1">
      <c r="B155" s="126"/>
      <c r="C155" s="127" t="s">
        <v>253</v>
      </c>
      <c r="D155" s="127" t="s">
        <v>144</v>
      </c>
      <c r="E155" s="128" t="s">
        <v>1420</v>
      </c>
      <c r="F155" s="129" t="s">
        <v>1419</v>
      </c>
      <c r="G155" s="130" t="s">
        <v>147</v>
      </c>
      <c r="H155" s="131">
        <v>18</v>
      </c>
      <c r="I155" s="132">
        <v>214</v>
      </c>
      <c r="J155" s="132">
        <f t="shared" si="10"/>
        <v>3852</v>
      </c>
      <c r="K155" s="129" t="s">
        <v>148</v>
      </c>
      <c r="L155" s="27"/>
      <c r="M155" s="133" t="s">
        <v>1</v>
      </c>
      <c r="N155" s="134" t="s">
        <v>39</v>
      </c>
      <c r="O155" s="135">
        <v>0.35</v>
      </c>
      <c r="P155" s="135">
        <f t="shared" si="11"/>
        <v>6.3</v>
      </c>
      <c r="Q155" s="135">
        <v>3.0000000000000001E-5</v>
      </c>
      <c r="R155" s="135">
        <f t="shared" si="12"/>
        <v>5.4000000000000001E-4</v>
      </c>
      <c r="S155" s="135">
        <v>0</v>
      </c>
      <c r="T155" s="136">
        <f t="shared" si="13"/>
        <v>0</v>
      </c>
      <c r="AR155" s="137" t="s">
        <v>206</v>
      </c>
      <c r="AT155" s="137" t="s">
        <v>144</v>
      </c>
      <c r="AU155" s="137" t="s">
        <v>143</v>
      </c>
      <c r="AY155" s="15" t="s">
        <v>141</v>
      </c>
      <c r="BE155" s="138">
        <f t="shared" si="14"/>
        <v>0</v>
      </c>
      <c r="BF155" s="138">
        <f t="shared" si="15"/>
        <v>3852</v>
      </c>
      <c r="BG155" s="138">
        <f t="shared" si="16"/>
        <v>0</v>
      </c>
      <c r="BH155" s="138">
        <f t="shared" si="17"/>
        <v>0</v>
      </c>
      <c r="BI155" s="138">
        <f t="shared" si="18"/>
        <v>0</v>
      </c>
      <c r="BJ155" s="15" t="s">
        <v>143</v>
      </c>
      <c r="BK155" s="138">
        <f t="shared" si="19"/>
        <v>3852</v>
      </c>
      <c r="BL155" s="15" t="s">
        <v>206</v>
      </c>
      <c r="BM155" s="137" t="s">
        <v>1418</v>
      </c>
    </row>
    <row r="156" spans="2:65" s="1" customFormat="1" ht="24.2" customHeight="1">
      <c r="B156" s="126"/>
      <c r="C156" s="127" t="s">
        <v>257</v>
      </c>
      <c r="D156" s="127" t="s">
        <v>144</v>
      </c>
      <c r="E156" s="128" t="s">
        <v>1417</v>
      </c>
      <c r="F156" s="129" t="s">
        <v>1416</v>
      </c>
      <c r="G156" s="130" t="s">
        <v>147</v>
      </c>
      <c r="H156" s="131">
        <v>4</v>
      </c>
      <c r="I156" s="132">
        <v>358</v>
      </c>
      <c r="J156" s="132">
        <f t="shared" si="10"/>
        <v>1432</v>
      </c>
      <c r="K156" s="129" t="s">
        <v>148</v>
      </c>
      <c r="L156" s="27"/>
      <c r="M156" s="133" t="s">
        <v>1</v>
      </c>
      <c r="N156" s="134" t="s">
        <v>39</v>
      </c>
      <c r="O156" s="135">
        <v>0.36399999999999999</v>
      </c>
      <c r="P156" s="135">
        <f t="shared" si="11"/>
        <v>1.456</v>
      </c>
      <c r="Q156" s="135">
        <v>6.0000000000000002E-5</v>
      </c>
      <c r="R156" s="135">
        <f t="shared" si="12"/>
        <v>2.4000000000000001E-4</v>
      </c>
      <c r="S156" s="135">
        <v>0</v>
      </c>
      <c r="T156" s="136">
        <f t="shared" si="13"/>
        <v>0</v>
      </c>
      <c r="AR156" s="137" t="s">
        <v>206</v>
      </c>
      <c r="AT156" s="137" t="s">
        <v>144</v>
      </c>
      <c r="AU156" s="137" t="s">
        <v>143</v>
      </c>
      <c r="AY156" s="15" t="s">
        <v>141</v>
      </c>
      <c r="BE156" s="138">
        <f t="shared" si="14"/>
        <v>0</v>
      </c>
      <c r="BF156" s="138">
        <f t="shared" si="15"/>
        <v>1432</v>
      </c>
      <c r="BG156" s="138">
        <f t="shared" si="16"/>
        <v>0</v>
      </c>
      <c r="BH156" s="138">
        <f t="shared" si="17"/>
        <v>0</v>
      </c>
      <c r="BI156" s="138">
        <f t="shared" si="18"/>
        <v>0</v>
      </c>
      <c r="BJ156" s="15" t="s">
        <v>143</v>
      </c>
      <c r="BK156" s="138">
        <f t="shared" si="19"/>
        <v>1432</v>
      </c>
      <c r="BL156" s="15" t="s">
        <v>206</v>
      </c>
      <c r="BM156" s="137" t="s">
        <v>1537</v>
      </c>
    </row>
    <row r="157" spans="2:65" s="1" customFormat="1" ht="24.2" customHeight="1">
      <c r="B157" s="126"/>
      <c r="C157" s="127" t="s">
        <v>261</v>
      </c>
      <c r="D157" s="127" t="s">
        <v>144</v>
      </c>
      <c r="E157" s="128" t="s">
        <v>1411</v>
      </c>
      <c r="F157" s="129" t="s">
        <v>1410</v>
      </c>
      <c r="G157" s="130" t="s">
        <v>193</v>
      </c>
      <c r="H157" s="131">
        <v>270</v>
      </c>
      <c r="I157" s="132">
        <v>22.4</v>
      </c>
      <c r="J157" s="132">
        <f t="shared" si="10"/>
        <v>6048</v>
      </c>
      <c r="K157" s="129" t="s">
        <v>148</v>
      </c>
      <c r="L157" s="27"/>
      <c r="M157" s="133" t="s">
        <v>1</v>
      </c>
      <c r="N157" s="134" t="s">
        <v>39</v>
      </c>
      <c r="O157" s="135">
        <v>3.7999999999999999E-2</v>
      </c>
      <c r="P157" s="135">
        <f t="shared" si="11"/>
        <v>10.26</v>
      </c>
      <c r="Q157" s="135">
        <v>0</v>
      </c>
      <c r="R157" s="135">
        <f t="shared" si="12"/>
        <v>0</v>
      </c>
      <c r="S157" s="135">
        <v>0</v>
      </c>
      <c r="T157" s="136">
        <f t="shared" si="13"/>
        <v>0</v>
      </c>
      <c r="AR157" s="137" t="s">
        <v>206</v>
      </c>
      <c r="AT157" s="137" t="s">
        <v>144</v>
      </c>
      <c r="AU157" s="137" t="s">
        <v>143</v>
      </c>
      <c r="AY157" s="15" t="s">
        <v>141</v>
      </c>
      <c r="BE157" s="138">
        <f t="shared" si="14"/>
        <v>0</v>
      </c>
      <c r="BF157" s="138">
        <f t="shared" si="15"/>
        <v>6048</v>
      </c>
      <c r="BG157" s="138">
        <f t="shared" si="16"/>
        <v>0</v>
      </c>
      <c r="BH157" s="138">
        <f t="shared" si="17"/>
        <v>0</v>
      </c>
      <c r="BI157" s="138">
        <f t="shared" si="18"/>
        <v>0</v>
      </c>
      <c r="BJ157" s="15" t="s">
        <v>143</v>
      </c>
      <c r="BK157" s="138">
        <f t="shared" si="19"/>
        <v>6048</v>
      </c>
      <c r="BL157" s="15" t="s">
        <v>206</v>
      </c>
      <c r="BM157" s="137" t="s">
        <v>1409</v>
      </c>
    </row>
    <row r="158" spans="2:65" s="1" customFormat="1" ht="24.2" customHeight="1">
      <c r="B158" s="126"/>
      <c r="C158" s="127" t="s">
        <v>270</v>
      </c>
      <c r="D158" s="127" t="s">
        <v>144</v>
      </c>
      <c r="E158" s="128" t="s">
        <v>1408</v>
      </c>
      <c r="F158" s="129" t="s">
        <v>1407</v>
      </c>
      <c r="G158" s="130" t="s">
        <v>193</v>
      </c>
      <c r="H158" s="131">
        <v>40</v>
      </c>
      <c r="I158" s="132">
        <v>27.5</v>
      </c>
      <c r="J158" s="132">
        <f t="shared" si="10"/>
        <v>1100</v>
      </c>
      <c r="K158" s="129" t="s">
        <v>148</v>
      </c>
      <c r="L158" s="27"/>
      <c r="M158" s="133" t="s">
        <v>1</v>
      </c>
      <c r="N158" s="134" t="s">
        <v>39</v>
      </c>
      <c r="O158" s="135">
        <v>4.5999999999999999E-2</v>
      </c>
      <c r="P158" s="135">
        <f t="shared" si="11"/>
        <v>1.8399999999999999</v>
      </c>
      <c r="Q158" s="135">
        <v>0</v>
      </c>
      <c r="R158" s="135">
        <f t="shared" si="12"/>
        <v>0</v>
      </c>
      <c r="S158" s="135">
        <v>0</v>
      </c>
      <c r="T158" s="136">
        <f t="shared" si="13"/>
        <v>0</v>
      </c>
      <c r="AR158" s="137" t="s">
        <v>206</v>
      </c>
      <c r="AT158" s="137" t="s">
        <v>144</v>
      </c>
      <c r="AU158" s="137" t="s">
        <v>143</v>
      </c>
      <c r="AY158" s="15" t="s">
        <v>141</v>
      </c>
      <c r="BE158" s="138">
        <f t="shared" si="14"/>
        <v>0</v>
      </c>
      <c r="BF158" s="138">
        <f t="shared" si="15"/>
        <v>1100</v>
      </c>
      <c r="BG158" s="138">
        <f t="shared" si="16"/>
        <v>0</v>
      </c>
      <c r="BH158" s="138">
        <f t="shared" si="17"/>
        <v>0</v>
      </c>
      <c r="BI158" s="138">
        <f t="shared" si="18"/>
        <v>0</v>
      </c>
      <c r="BJ158" s="15" t="s">
        <v>143</v>
      </c>
      <c r="BK158" s="138">
        <f t="shared" si="19"/>
        <v>1100</v>
      </c>
      <c r="BL158" s="15" t="s">
        <v>206</v>
      </c>
      <c r="BM158" s="137" t="s">
        <v>1406</v>
      </c>
    </row>
    <row r="159" spans="2:65" s="1" customFormat="1" ht="24.2" customHeight="1">
      <c r="B159" s="126"/>
      <c r="C159" s="127" t="s">
        <v>274</v>
      </c>
      <c r="D159" s="127" t="s">
        <v>144</v>
      </c>
      <c r="E159" s="128" t="s">
        <v>1414</v>
      </c>
      <c r="F159" s="129" t="s">
        <v>1413</v>
      </c>
      <c r="G159" s="130" t="s">
        <v>147</v>
      </c>
      <c r="H159" s="131">
        <v>4</v>
      </c>
      <c r="I159" s="132">
        <v>2050</v>
      </c>
      <c r="J159" s="132">
        <f t="shared" si="10"/>
        <v>8200</v>
      </c>
      <c r="K159" s="129" t="s">
        <v>148</v>
      </c>
      <c r="L159" s="27"/>
      <c r="M159" s="133" t="s">
        <v>1</v>
      </c>
      <c r="N159" s="134" t="s">
        <v>39</v>
      </c>
      <c r="O159" s="135">
        <v>0.47199999999999998</v>
      </c>
      <c r="P159" s="135">
        <f t="shared" si="11"/>
        <v>1.8879999999999999</v>
      </c>
      <c r="Q159" s="135">
        <v>3.6999999999999999E-4</v>
      </c>
      <c r="R159" s="135">
        <f t="shared" si="12"/>
        <v>1.48E-3</v>
      </c>
      <c r="S159" s="135">
        <v>0</v>
      </c>
      <c r="T159" s="136">
        <f t="shared" si="13"/>
        <v>0</v>
      </c>
      <c r="AR159" s="137" t="s">
        <v>206</v>
      </c>
      <c r="AT159" s="137" t="s">
        <v>144</v>
      </c>
      <c r="AU159" s="137" t="s">
        <v>143</v>
      </c>
      <c r="AY159" s="15" t="s">
        <v>141</v>
      </c>
      <c r="BE159" s="138">
        <f t="shared" si="14"/>
        <v>0</v>
      </c>
      <c r="BF159" s="138">
        <f t="shared" si="15"/>
        <v>8200</v>
      </c>
      <c r="BG159" s="138">
        <f t="shared" si="16"/>
        <v>0</v>
      </c>
      <c r="BH159" s="138">
        <f t="shared" si="17"/>
        <v>0</v>
      </c>
      <c r="BI159" s="138">
        <f t="shared" si="18"/>
        <v>0</v>
      </c>
      <c r="BJ159" s="15" t="s">
        <v>143</v>
      </c>
      <c r="BK159" s="138">
        <f t="shared" si="19"/>
        <v>8200</v>
      </c>
      <c r="BL159" s="15" t="s">
        <v>206</v>
      </c>
      <c r="BM159" s="137" t="s">
        <v>1536</v>
      </c>
    </row>
    <row r="160" spans="2:65" s="1" customFormat="1" ht="55.5" customHeight="1">
      <c r="B160" s="126"/>
      <c r="C160" s="127" t="s">
        <v>278</v>
      </c>
      <c r="D160" s="127" t="s">
        <v>144</v>
      </c>
      <c r="E160" s="128" t="s">
        <v>1405</v>
      </c>
      <c r="F160" s="129" t="s">
        <v>1404</v>
      </c>
      <c r="G160" s="130" t="s">
        <v>193</v>
      </c>
      <c r="H160" s="131">
        <v>110</v>
      </c>
      <c r="I160" s="132">
        <v>98.5</v>
      </c>
      <c r="J160" s="132">
        <f t="shared" si="10"/>
        <v>10835</v>
      </c>
      <c r="K160" s="129" t="s">
        <v>148</v>
      </c>
      <c r="L160" s="27"/>
      <c r="M160" s="133" t="s">
        <v>1</v>
      </c>
      <c r="N160" s="134" t="s">
        <v>39</v>
      </c>
      <c r="O160" s="135">
        <v>0.113</v>
      </c>
      <c r="P160" s="135">
        <f t="shared" si="11"/>
        <v>12.43</v>
      </c>
      <c r="Q160" s="135">
        <v>1.2E-4</v>
      </c>
      <c r="R160" s="135">
        <f t="shared" si="12"/>
        <v>1.32E-2</v>
      </c>
      <c r="S160" s="135">
        <v>0</v>
      </c>
      <c r="T160" s="136">
        <f t="shared" si="13"/>
        <v>0</v>
      </c>
      <c r="AR160" s="137" t="s">
        <v>206</v>
      </c>
      <c r="AT160" s="137" t="s">
        <v>144</v>
      </c>
      <c r="AU160" s="137" t="s">
        <v>143</v>
      </c>
      <c r="AY160" s="15" t="s">
        <v>141</v>
      </c>
      <c r="BE160" s="138">
        <f t="shared" si="14"/>
        <v>0</v>
      </c>
      <c r="BF160" s="138">
        <f t="shared" si="15"/>
        <v>10835</v>
      </c>
      <c r="BG160" s="138">
        <f t="shared" si="16"/>
        <v>0</v>
      </c>
      <c r="BH160" s="138">
        <f t="shared" si="17"/>
        <v>0</v>
      </c>
      <c r="BI160" s="138">
        <f t="shared" si="18"/>
        <v>0</v>
      </c>
      <c r="BJ160" s="15" t="s">
        <v>143</v>
      </c>
      <c r="BK160" s="138">
        <f t="shared" si="19"/>
        <v>10835</v>
      </c>
      <c r="BL160" s="15" t="s">
        <v>206</v>
      </c>
      <c r="BM160" s="137" t="s">
        <v>1403</v>
      </c>
    </row>
    <row r="161" spans="2:65" s="1" customFormat="1" ht="55.5" customHeight="1">
      <c r="B161" s="126"/>
      <c r="C161" s="127" t="s">
        <v>282</v>
      </c>
      <c r="D161" s="127" t="s">
        <v>144</v>
      </c>
      <c r="E161" s="128" t="s">
        <v>1402</v>
      </c>
      <c r="F161" s="129" t="s">
        <v>1401</v>
      </c>
      <c r="G161" s="130" t="s">
        <v>193</v>
      </c>
      <c r="H161" s="131">
        <v>80</v>
      </c>
      <c r="I161" s="132">
        <v>169</v>
      </c>
      <c r="J161" s="132">
        <f t="shared" si="10"/>
        <v>13520</v>
      </c>
      <c r="K161" s="129" t="s">
        <v>148</v>
      </c>
      <c r="L161" s="27"/>
      <c r="M161" s="133" t="s">
        <v>1</v>
      </c>
      <c r="N161" s="134" t="s">
        <v>39</v>
      </c>
      <c r="O161" s="135">
        <v>0.11799999999999999</v>
      </c>
      <c r="P161" s="135">
        <f t="shared" si="11"/>
        <v>9.44</v>
      </c>
      <c r="Q161" s="135">
        <v>2.4000000000000001E-4</v>
      </c>
      <c r="R161" s="135">
        <f t="shared" si="12"/>
        <v>1.9200000000000002E-2</v>
      </c>
      <c r="S161" s="135">
        <v>0</v>
      </c>
      <c r="T161" s="136">
        <f t="shared" si="13"/>
        <v>0</v>
      </c>
      <c r="AR161" s="137" t="s">
        <v>206</v>
      </c>
      <c r="AT161" s="137" t="s">
        <v>144</v>
      </c>
      <c r="AU161" s="137" t="s">
        <v>143</v>
      </c>
      <c r="AY161" s="15" t="s">
        <v>141</v>
      </c>
      <c r="BE161" s="138">
        <f t="shared" si="14"/>
        <v>0</v>
      </c>
      <c r="BF161" s="138">
        <f t="shared" si="15"/>
        <v>13520</v>
      </c>
      <c r="BG161" s="138">
        <f t="shared" si="16"/>
        <v>0</v>
      </c>
      <c r="BH161" s="138">
        <f t="shared" si="17"/>
        <v>0</v>
      </c>
      <c r="BI161" s="138">
        <f t="shared" si="18"/>
        <v>0</v>
      </c>
      <c r="BJ161" s="15" t="s">
        <v>143</v>
      </c>
      <c r="BK161" s="138">
        <f t="shared" si="19"/>
        <v>13520</v>
      </c>
      <c r="BL161" s="15" t="s">
        <v>206</v>
      </c>
      <c r="BM161" s="137" t="s">
        <v>1400</v>
      </c>
    </row>
    <row r="162" spans="2:65" s="1" customFormat="1" ht="24.2" customHeight="1">
      <c r="B162" s="126"/>
      <c r="C162" s="139" t="s">
        <v>286</v>
      </c>
      <c r="D162" s="139" t="s">
        <v>207</v>
      </c>
      <c r="E162" s="140" t="s">
        <v>1399</v>
      </c>
      <c r="F162" s="141" t="s">
        <v>1398</v>
      </c>
      <c r="G162" s="142" t="s">
        <v>193</v>
      </c>
      <c r="H162" s="143">
        <v>50</v>
      </c>
      <c r="I162" s="144">
        <v>263</v>
      </c>
      <c r="J162" s="144">
        <f t="shared" si="10"/>
        <v>13150</v>
      </c>
      <c r="K162" s="141" t="s">
        <v>148</v>
      </c>
      <c r="L162" s="145"/>
      <c r="M162" s="146" t="s">
        <v>1</v>
      </c>
      <c r="N162" s="147" t="s">
        <v>39</v>
      </c>
      <c r="O162" s="135">
        <v>0</v>
      </c>
      <c r="P162" s="135">
        <f t="shared" si="11"/>
        <v>0</v>
      </c>
      <c r="Q162" s="135">
        <v>9.2000000000000003E-4</v>
      </c>
      <c r="R162" s="135">
        <f t="shared" si="12"/>
        <v>4.5999999999999999E-2</v>
      </c>
      <c r="S162" s="135">
        <v>0</v>
      </c>
      <c r="T162" s="136">
        <f t="shared" si="13"/>
        <v>0</v>
      </c>
      <c r="AR162" s="137" t="s">
        <v>274</v>
      </c>
      <c r="AT162" s="137" t="s">
        <v>207</v>
      </c>
      <c r="AU162" s="137" t="s">
        <v>143</v>
      </c>
      <c r="AY162" s="15" t="s">
        <v>141</v>
      </c>
      <c r="BE162" s="138">
        <f t="shared" si="14"/>
        <v>0</v>
      </c>
      <c r="BF162" s="138">
        <f t="shared" si="15"/>
        <v>13150</v>
      </c>
      <c r="BG162" s="138">
        <f t="shared" si="16"/>
        <v>0</v>
      </c>
      <c r="BH162" s="138">
        <f t="shared" si="17"/>
        <v>0</v>
      </c>
      <c r="BI162" s="138">
        <f t="shared" si="18"/>
        <v>0</v>
      </c>
      <c r="BJ162" s="15" t="s">
        <v>143</v>
      </c>
      <c r="BK162" s="138">
        <f t="shared" si="19"/>
        <v>13150</v>
      </c>
      <c r="BL162" s="15" t="s">
        <v>206</v>
      </c>
      <c r="BM162" s="137" t="s">
        <v>1535</v>
      </c>
    </row>
    <row r="163" spans="2:65" s="1" customFormat="1" ht="55.5" customHeight="1">
      <c r="B163" s="126"/>
      <c r="C163" s="127" t="s">
        <v>290</v>
      </c>
      <c r="D163" s="127" t="s">
        <v>144</v>
      </c>
      <c r="E163" s="128" t="s">
        <v>1396</v>
      </c>
      <c r="F163" s="129" t="s">
        <v>1395</v>
      </c>
      <c r="G163" s="130" t="s">
        <v>193</v>
      </c>
      <c r="H163" s="131">
        <v>20</v>
      </c>
      <c r="I163" s="132">
        <v>203</v>
      </c>
      <c r="J163" s="132">
        <f t="shared" si="10"/>
        <v>4060</v>
      </c>
      <c r="K163" s="129" t="s">
        <v>148</v>
      </c>
      <c r="L163" s="27"/>
      <c r="M163" s="133" t="s">
        <v>1</v>
      </c>
      <c r="N163" s="134" t="s">
        <v>39</v>
      </c>
      <c r="O163" s="135">
        <v>0.11799999999999999</v>
      </c>
      <c r="P163" s="135">
        <f t="shared" si="11"/>
        <v>2.36</v>
      </c>
      <c r="Q163" s="135">
        <v>2.7E-4</v>
      </c>
      <c r="R163" s="135">
        <f t="shared" si="12"/>
        <v>5.4000000000000003E-3</v>
      </c>
      <c r="S163" s="135">
        <v>0</v>
      </c>
      <c r="T163" s="136">
        <f t="shared" si="13"/>
        <v>0</v>
      </c>
      <c r="AR163" s="137" t="s">
        <v>206</v>
      </c>
      <c r="AT163" s="137" t="s">
        <v>144</v>
      </c>
      <c r="AU163" s="137" t="s">
        <v>143</v>
      </c>
      <c r="AY163" s="15" t="s">
        <v>141</v>
      </c>
      <c r="BE163" s="138">
        <f t="shared" si="14"/>
        <v>0</v>
      </c>
      <c r="BF163" s="138">
        <f t="shared" si="15"/>
        <v>4060</v>
      </c>
      <c r="BG163" s="138">
        <f t="shared" si="16"/>
        <v>0</v>
      </c>
      <c r="BH163" s="138">
        <f t="shared" si="17"/>
        <v>0</v>
      </c>
      <c r="BI163" s="138">
        <f t="shared" si="18"/>
        <v>0</v>
      </c>
      <c r="BJ163" s="15" t="s">
        <v>143</v>
      </c>
      <c r="BK163" s="138">
        <f t="shared" si="19"/>
        <v>4060</v>
      </c>
      <c r="BL163" s="15" t="s">
        <v>206</v>
      </c>
      <c r="BM163" s="137" t="s">
        <v>1394</v>
      </c>
    </row>
    <row r="164" spans="2:65" s="1" customFormat="1" ht="44.25" customHeight="1">
      <c r="B164" s="126"/>
      <c r="C164" s="127" t="s">
        <v>294</v>
      </c>
      <c r="D164" s="127" t="s">
        <v>144</v>
      </c>
      <c r="E164" s="128" t="s">
        <v>1393</v>
      </c>
      <c r="F164" s="129" t="s">
        <v>1392</v>
      </c>
      <c r="G164" s="130" t="s">
        <v>179</v>
      </c>
      <c r="H164" s="131">
        <v>0.40200000000000002</v>
      </c>
      <c r="I164" s="132">
        <v>1450</v>
      </c>
      <c r="J164" s="132">
        <f t="shared" si="10"/>
        <v>582.9</v>
      </c>
      <c r="K164" s="129" t="s">
        <v>148</v>
      </c>
      <c r="L164" s="27"/>
      <c r="M164" s="133" t="s">
        <v>1</v>
      </c>
      <c r="N164" s="134" t="s">
        <v>39</v>
      </c>
      <c r="O164" s="135">
        <v>3.4630000000000001</v>
      </c>
      <c r="P164" s="135">
        <f t="shared" si="11"/>
        <v>1.3921260000000002</v>
      </c>
      <c r="Q164" s="135">
        <v>0</v>
      </c>
      <c r="R164" s="135">
        <f t="shared" si="12"/>
        <v>0</v>
      </c>
      <c r="S164" s="135">
        <v>0</v>
      </c>
      <c r="T164" s="136">
        <f t="shared" si="13"/>
        <v>0</v>
      </c>
      <c r="AR164" s="137" t="s">
        <v>206</v>
      </c>
      <c r="AT164" s="137" t="s">
        <v>144</v>
      </c>
      <c r="AU164" s="137" t="s">
        <v>143</v>
      </c>
      <c r="AY164" s="15" t="s">
        <v>141</v>
      </c>
      <c r="BE164" s="138">
        <f t="shared" si="14"/>
        <v>0</v>
      </c>
      <c r="BF164" s="138">
        <f t="shared" si="15"/>
        <v>582.9</v>
      </c>
      <c r="BG164" s="138">
        <f t="shared" si="16"/>
        <v>0</v>
      </c>
      <c r="BH164" s="138">
        <f t="shared" si="17"/>
        <v>0</v>
      </c>
      <c r="BI164" s="138">
        <f t="shared" si="18"/>
        <v>0</v>
      </c>
      <c r="BJ164" s="15" t="s">
        <v>143</v>
      </c>
      <c r="BK164" s="138">
        <f t="shared" si="19"/>
        <v>582.9</v>
      </c>
      <c r="BL164" s="15" t="s">
        <v>206</v>
      </c>
      <c r="BM164" s="137" t="s">
        <v>1391</v>
      </c>
    </row>
    <row r="165" spans="2:65" s="11" customFormat="1" ht="22.9" customHeight="1">
      <c r="B165" s="115"/>
      <c r="D165" s="116" t="s">
        <v>72</v>
      </c>
      <c r="E165" s="124" t="s">
        <v>1390</v>
      </c>
      <c r="F165" s="124" t="s">
        <v>1389</v>
      </c>
      <c r="J165" s="125">
        <f>BK165</f>
        <v>59961.75</v>
      </c>
      <c r="L165" s="115"/>
      <c r="M165" s="119"/>
      <c r="P165" s="120">
        <f>SUM(P166:P187)</f>
        <v>15.7385</v>
      </c>
      <c r="R165" s="120">
        <f>SUM(R166:R187)</f>
        <v>5.4909999999999994E-2</v>
      </c>
      <c r="T165" s="121">
        <f>SUM(T166:T187)</f>
        <v>0</v>
      </c>
      <c r="AR165" s="116" t="s">
        <v>143</v>
      </c>
      <c r="AT165" s="122" t="s">
        <v>72</v>
      </c>
      <c r="AU165" s="122" t="s">
        <v>81</v>
      </c>
      <c r="AY165" s="116" t="s">
        <v>141</v>
      </c>
      <c r="BK165" s="123">
        <f>SUM(BK166:BK187)</f>
        <v>59961.75</v>
      </c>
    </row>
    <row r="166" spans="2:65" s="1" customFormat="1" ht="24.2" customHeight="1">
      <c r="B166" s="126"/>
      <c r="C166" s="127" t="s">
        <v>298</v>
      </c>
      <c r="D166" s="127" t="s">
        <v>144</v>
      </c>
      <c r="E166" s="128" t="s">
        <v>1388</v>
      </c>
      <c r="F166" s="129" t="s">
        <v>1387</v>
      </c>
      <c r="G166" s="130" t="s">
        <v>147</v>
      </c>
      <c r="H166" s="131">
        <v>6</v>
      </c>
      <c r="I166" s="132">
        <v>284</v>
      </c>
      <c r="J166" s="132">
        <f t="shared" ref="J166:J187" si="20">ROUND(I166*H166,2)</f>
        <v>1704</v>
      </c>
      <c r="K166" s="129" t="s">
        <v>148</v>
      </c>
      <c r="L166" s="27"/>
      <c r="M166" s="133" t="s">
        <v>1</v>
      </c>
      <c r="N166" s="134" t="s">
        <v>39</v>
      </c>
      <c r="O166" s="135">
        <v>6.2E-2</v>
      </c>
      <c r="P166" s="135">
        <f t="shared" ref="P166:P187" si="21">O166*H166</f>
        <v>0.372</v>
      </c>
      <c r="Q166" s="135">
        <v>2.5000000000000001E-4</v>
      </c>
      <c r="R166" s="135">
        <f t="shared" ref="R166:R187" si="22">Q166*H166</f>
        <v>1.5E-3</v>
      </c>
      <c r="S166" s="135">
        <v>0</v>
      </c>
      <c r="T166" s="136">
        <f t="shared" ref="T166:T187" si="23">S166*H166</f>
        <v>0</v>
      </c>
      <c r="AR166" s="137" t="s">
        <v>206</v>
      </c>
      <c r="AT166" s="137" t="s">
        <v>144</v>
      </c>
      <c r="AU166" s="137" t="s">
        <v>143</v>
      </c>
      <c r="AY166" s="15" t="s">
        <v>141</v>
      </c>
      <c r="BE166" s="138">
        <f t="shared" ref="BE166:BE187" si="24">IF(N166="základní",J166,0)</f>
        <v>0</v>
      </c>
      <c r="BF166" s="138">
        <f t="shared" ref="BF166:BF187" si="25">IF(N166="snížená",J166,0)</f>
        <v>1704</v>
      </c>
      <c r="BG166" s="138">
        <f t="shared" ref="BG166:BG187" si="26">IF(N166="zákl. přenesená",J166,0)</f>
        <v>0</v>
      </c>
      <c r="BH166" s="138">
        <f t="shared" ref="BH166:BH187" si="27">IF(N166="sníž. přenesená",J166,0)</f>
        <v>0</v>
      </c>
      <c r="BI166" s="138">
        <f t="shared" ref="BI166:BI187" si="28">IF(N166="nulová",J166,0)</f>
        <v>0</v>
      </c>
      <c r="BJ166" s="15" t="s">
        <v>143</v>
      </c>
      <c r="BK166" s="138">
        <f t="shared" ref="BK166:BK187" si="29">ROUND(I166*H166,2)</f>
        <v>1704</v>
      </c>
      <c r="BL166" s="15" t="s">
        <v>206</v>
      </c>
      <c r="BM166" s="137" t="s">
        <v>1386</v>
      </c>
    </row>
    <row r="167" spans="2:65" s="1" customFormat="1" ht="33" customHeight="1">
      <c r="B167" s="126"/>
      <c r="C167" s="127" t="s">
        <v>302</v>
      </c>
      <c r="D167" s="127" t="s">
        <v>144</v>
      </c>
      <c r="E167" s="128" t="s">
        <v>1385</v>
      </c>
      <c r="F167" s="129" t="s">
        <v>1384</v>
      </c>
      <c r="G167" s="130" t="s">
        <v>147</v>
      </c>
      <c r="H167" s="131">
        <v>7</v>
      </c>
      <c r="I167" s="132">
        <v>435</v>
      </c>
      <c r="J167" s="132">
        <f t="shared" si="20"/>
        <v>3045</v>
      </c>
      <c r="K167" s="129" t="s">
        <v>148</v>
      </c>
      <c r="L167" s="27"/>
      <c r="M167" s="133" t="s">
        <v>1</v>
      </c>
      <c r="N167" s="134" t="s">
        <v>39</v>
      </c>
      <c r="O167" s="135">
        <v>0.15</v>
      </c>
      <c r="P167" s="135">
        <f t="shared" si="21"/>
        <v>1.05</v>
      </c>
      <c r="Q167" s="135">
        <v>2.7999999999999998E-4</v>
      </c>
      <c r="R167" s="135">
        <f t="shared" si="22"/>
        <v>1.9599999999999999E-3</v>
      </c>
      <c r="S167" s="135">
        <v>0</v>
      </c>
      <c r="T167" s="136">
        <f t="shared" si="23"/>
        <v>0</v>
      </c>
      <c r="AR167" s="137" t="s">
        <v>206</v>
      </c>
      <c r="AT167" s="137" t="s">
        <v>144</v>
      </c>
      <c r="AU167" s="137" t="s">
        <v>143</v>
      </c>
      <c r="AY167" s="15" t="s">
        <v>141</v>
      </c>
      <c r="BE167" s="138">
        <f t="shared" si="24"/>
        <v>0</v>
      </c>
      <c r="BF167" s="138">
        <f t="shared" si="25"/>
        <v>3045</v>
      </c>
      <c r="BG167" s="138">
        <f t="shared" si="26"/>
        <v>0</v>
      </c>
      <c r="BH167" s="138">
        <f t="shared" si="27"/>
        <v>0</v>
      </c>
      <c r="BI167" s="138">
        <f t="shared" si="28"/>
        <v>0</v>
      </c>
      <c r="BJ167" s="15" t="s">
        <v>143</v>
      </c>
      <c r="BK167" s="138">
        <f t="shared" si="29"/>
        <v>3045</v>
      </c>
      <c r="BL167" s="15" t="s">
        <v>206</v>
      </c>
      <c r="BM167" s="137" t="s">
        <v>1383</v>
      </c>
    </row>
    <row r="168" spans="2:65" s="1" customFormat="1" ht="37.9" customHeight="1">
      <c r="B168" s="126"/>
      <c r="C168" s="127" t="s">
        <v>306</v>
      </c>
      <c r="D168" s="127" t="s">
        <v>144</v>
      </c>
      <c r="E168" s="128" t="s">
        <v>1382</v>
      </c>
      <c r="F168" s="129" t="s">
        <v>1381</v>
      </c>
      <c r="G168" s="130" t="s">
        <v>147</v>
      </c>
      <c r="H168" s="131">
        <v>7</v>
      </c>
      <c r="I168" s="132">
        <v>222</v>
      </c>
      <c r="J168" s="132">
        <f t="shared" si="20"/>
        <v>1554</v>
      </c>
      <c r="K168" s="129" t="s">
        <v>148</v>
      </c>
      <c r="L168" s="27"/>
      <c r="M168" s="133" t="s">
        <v>1</v>
      </c>
      <c r="N168" s="134" t="s">
        <v>39</v>
      </c>
      <c r="O168" s="135">
        <v>3.5000000000000003E-2</v>
      </c>
      <c r="P168" s="135">
        <f t="shared" si="21"/>
        <v>0.24500000000000002</v>
      </c>
      <c r="Q168" s="135">
        <v>1.3999999999999999E-4</v>
      </c>
      <c r="R168" s="135">
        <f t="shared" si="22"/>
        <v>9.7999999999999997E-4</v>
      </c>
      <c r="S168" s="135">
        <v>0</v>
      </c>
      <c r="T168" s="136">
        <f t="shared" si="23"/>
        <v>0</v>
      </c>
      <c r="AR168" s="137" t="s">
        <v>206</v>
      </c>
      <c r="AT168" s="137" t="s">
        <v>144</v>
      </c>
      <c r="AU168" s="137" t="s">
        <v>143</v>
      </c>
      <c r="AY168" s="15" t="s">
        <v>141</v>
      </c>
      <c r="BE168" s="138">
        <f t="shared" si="24"/>
        <v>0</v>
      </c>
      <c r="BF168" s="138">
        <f t="shared" si="25"/>
        <v>1554</v>
      </c>
      <c r="BG168" s="138">
        <f t="shared" si="26"/>
        <v>0</v>
      </c>
      <c r="BH168" s="138">
        <f t="shared" si="27"/>
        <v>0</v>
      </c>
      <c r="BI168" s="138">
        <f t="shared" si="28"/>
        <v>0</v>
      </c>
      <c r="BJ168" s="15" t="s">
        <v>143</v>
      </c>
      <c r="BK168" s="138">
        <f t="shared" si="29"/>
        <v>1554</v>
      </c>
      <c r="BL168" s="15" t="s">
        <v>206</v>
      </c>
      <c r="BM168" s="137" t="s">
        <v>1380</v>
      </c>
    </row>
    <row r="169" spans="2:65" s="1" customFormat="1" ht="21.75" customHeight="1">
      <c r="B169" s="126"/>
      <c r="C169" s="127" t="s">
        <v>310</v>
      </c>
      <c r="D169" s="127" t="s">
        <v>144</v>
      </c>
      <c r="E169" s="128" t="s">
        <v>1379</v>
      </c>
      <c r="F169" s="129" t="s">
        <v>1378</v>
      </c>
      <c r="G169" s="130" t="s">
        <v>147</v>
      </c>
      <c r="H169" s="131">
        <v>1</v>
      </c>
      <c r="I169" s="132">
        <v>443</v>
      </c>
      <c r="J169" s="132">
        <f t="shared" si="20"/>
        <v>443</v>
      </c>
      <c r="K169" s="129" t="s">
        <v>148</v>
      </c>
      <c r="L169" s="27"/>
      <c r="M169" s="133" t="s">
        <v>1</v>
      </c>
      <c r="N169" s="134" t="s">
        <v>39</v>
      </c>
      <c r="O169" s="135">
        <v>0.22700000000000001</v>
      </c>
      <c r="P169" s="135">
        <f t="shared" si="21"/>
        <v>0.22700000000000001</v>
      </c>
      <c r="Q169" s="135">
        <v>5.2999999999999998E-4</v>
      </c>
      <c r="R169" s="135">
        <f t="shared" si="22"/>
        <v>5.2999999999999998E-4</v>
      </c>
      <c r="S169" s="135">
        <v>0</v>
      </c>
      <c r="T169" s="136">
        <f t="shared" si="23"/>
        <v>0</v>
      </c>
      <c r="AR169" s="137" t="s">
        <v>206</v>
      </c>
      <c r="AT169" s="137" t="s">
        <v>144</v>
      </c>
      <c r="AU169" s="137" t="s">
        <v>143</v>
      </c>
      <c r="AY169" s="15" t="s">
        <v>141</v>
      </c>
      <c r="BE169" s="138">
        <f t="shared" si="24"/>
        <v>0</v>
      </c>
      <c r="BF169" s="138">
        <f t="shared" si="25"/>
        <v>443</v>
      </c>
      <c r="BG169" s="138">
        <f t="shared" si="26"/>
        <v>0</v>
      </c>
      <c r="BH169" s="138">
        <f t="shared" si="27"/>
        <v>0</v>
      </c>
      <c r="BI169" s="138">
        <f t="shared" si="28"/>
        <v>0</v>
      </c>
      <c r="BJ169" s="15" t="s">
        <v>143</v>
      </c>
      <c r="BK169" s="138">
        <f t="shared" si="29"/>
        <v>443</v>
      </c>
      <c r="BL169" s="15" t="s">
        <v>206</v>
      </c>
      <c r="BM169" s="137" t="s">
        <v>1534</v>
      </c>
    </row>
    <row r="170" spans="2:65" s="1" customFormat="1" ht="21.75" customHeight="1">
      <c r="B170" s="126"/>
      <c r="C170" s="127" t="s">
        <v>314</v>
      </c>
      <c r="D170" s="127" t="s">
        <v>144</v>
      </c>
      <c r="E170" s="128" t="s">
        <v>1376</v>
      </c>
      <c r="F170" s="129" t="s">
        <v>1375</v>
      </c>
      <c r="G170" s="130" t="s">
        <v>147</v>
      </c>
      <c r="H170" s="131">
        <v>2</v>
      </c>
      <c r="I170" s="132">
        <v>645</v>
      </c>
      <c r="J170" s="132">
        <f t="shared" si="20"/>
        <v>1290</v>
      </c>
      <c r="K170" s="129" t="s">
        <v>148</v>
      </c>
      <c r="L170" s="27"/>
      <c r="M170" s="133" t="s">
        <v>1</v>
      </c>
      <c r="N170" s="134" t="s">
        <v>39</v>
      </c>
      <c r="O170" s="135">
        <v>0.26800000000000002</v>
      </c>
      <c r="P170" s="135">
        <f t="shared" si="21"/>
        <v>0.53600000000000003</v>
      </c>
      <c r="Q170" s="135">
        <v>8.4000000000000003E-4</v>
      </c>
      <c r="R170" s="135">
        <f t="shared" si="22"/>
        <v>1.6800000000000001E-3</v>
      </c>
      <c r="S170" s="135">
        <v>0</v>
      </c>
      <c r="T170" s="136">
        <f t="shared" si="23"/>
        <v>0</v>
      </c>
      <c r="AR170" s="137" t="s">
        <v>206</v>
      </c>
      <c r="AT170" s="137" t="s">
        <v>144</v>
      </c>
      <c r="AU170" s="137" t="s">
        <v>143</v>
      </c>
      <c r="AY170" s="15" t="s">
        <v>141</v>
      </c>
      <c r="BE170" s="138">
        <f t="shared" si="24"/>
        <v>0</v>
      </c>
      <c r="BF170" s="138">
        <f t="shared" si="25"/>
        <v>1290</v>
      </c>
      <c r="BG170" s="138">
        <f t="shared" si="26"/>
        <v>0</v>
      </c>
      <c r="BH170" s="138">
        <f t="shared" si="27"/>
        <v>0</v>
      </c>
      <c r="BI170" s="138">
        <f t="shared" si="28"/>
        <v>0</v>
      </c>
      <c r="BJ170" s="15" t="s">
        <v>143</v>
      </c>
      <c r="BK170" s="138">
        <f t="shared" si="29"/>
        <v>1290</v>
      </c>
      <c r="BL170" s="15" t="s">
        <v>206</v>
      </c>
      <c r="BM170" s="137" t="s">
        <v>1533</v>
      </c>
    </row>
    <row r="171" spans="2:65" s="1" customFormat="1" ht="21.75" customHeight="1">
      <c r="B171" s="126"/>
      <c r="C171" s="127" t="s">
        <v>318</v>
      </c>
      <c r="D171" s="127" t="s">
        <v>144</v>
      </c>
      <c r="E171" s="128" t="s">
        <v>1373</v>
      </c>
      <c r="F171" s="129" t="s">
        <v>1372</v>
      </c>
      <c r="G171" s="130" t="s">
        <v>147</v>
      </c>
      <c r="H171" s="131">
        <v>1</v>
      </c>
      <c r="I171" s="132">
        <v>1170</v>
      </c>
      <c r="J171" s="132">
        <f t="shared" si="20"/>
        <v>1170</v>
      </c>
      <c r="K171" s="129" t="s">
        <v>148</v>
      </c>
      <c r="L171" s="27"/>
      <c r="M171" s="133" t="s">
        <v>1</v>
      </c>
      <c r="N171" s="134" t="s">
        <v>39</v>
      </c>
      <c r="O171" s="135">
        <v>0.42199999999999999</v>
      </c>
      <c r="P171" s="135">
        <f t="shared" si="21"/>
        <v>0.42199999999999999</v>
      </c>
      <c r="Q171" s="135">
        <v>7.7999999999999999E-4</v>
      </c>
      <c r="R171" s="135">
        <f t="shared" si="22"/>
        <v>7.7999999999999999E-4</v>
      </c>
      <c r="S171" s="135">
        <v>0</v>
      </c>
      <c r="T171" s="136">
        <f t="shared" si="23"/>
        <v>0</v>
      </c>
      <c r="AR171" s="137" t="s">
        <v>206</v>
      </c>
      <c r="AT171" s="137" t="s">
        <v>144</v>
      </c>
      <c r="AU171" s="137" t="s">
        <v>143</v>
      </c>
      <c r="AY171" s="15" t="s">
        <v>141</v>
      </c>
      <c r="BE171" s="138">
        <f t="shared" si="24"/>
        <v>0</v>
      </c>
      <c r="BF171" s="138">
        <f t="shared" si="25"/>
        <v>1170</v>
      </c>
      <c r="BG171" s="138">
        <f t="shared" si="26"/>
        <v>0</v>
      </c>
      <c r="BH171" s="138">
        <f t="shared" si="27"/>
        <v>0</v>
      </c>
      <c r="BI171" s="138">
        <f t="shared" si="28"/>
        <v>0</v>
      </c>
      <c r="BJ171" s="15" t="s">
        <v>143</v>
      </c>
      <c r="BK171" s="138">
        <f t="shared" si="29"/>
        <v>1170</v>
      </c>
      <c r="BL171" s="15" t="s">
        <v>206</v>
      </c>
      <c r="BM171" s="137" t="s">
        <v>1371</v>
      </c>
    </row>
    <row r="172" spans="2:65" s="1" customFormat="1" ht="24.2" customHeight="1">
      <c r="B172" s="126"/>
      <c r="C172" s="127" t="s">
        <v>322</v>
      </c>
      <c r="D172" s="127" t="s">
        <v>144</v>
      </c>
      <c r="E172" s="128" t="s">
        <v>1532</v>
      </c>
      <c r="F172" s="129" t="s">
        <v>1531</v>
      </c>
      <c r="G172" s="130" t="s">
        <v>147</v>
      </c>
      <c r="H172" s="131">
        <v>3</v>
      </c>
      <c r="I172" s="132">
        <v>498</v>
      </c>
      <c r="J172" s="132">
        <f t="shared" si="20"/>
        <v>1494</v>
      </c>
      <c r="K172" s="129" t="s">
        <v>148</v>
      </c>
      <c r="L172" s="27"/>
      <c r="M172" s="133" t="s">
        <v>1</v>
      </c>
      <c r="N172" s="134" t="s">
        <v>39</v>
      </c>
      <c r="O172" s="135">
        <v>0.16500000000000001</v>
      </c>
      <c r="P172" s="135">
        <f t="shared" si="21"/>
        <v>0.495</v>
      </c>
      <c r="Q172" s="135">
        <v>2.5000000000000001E-4</v>
      </c>
      <c r="R172" s="135">
        <f t="shared" si="22"/>
        <v>7.5000000000000002E-4</v>
      </c>
      <c r="S172" s="135">
        <v>0</v>
      </c>
      <c r="T172" s="136">
        <f t="shared" si="23"/>
        <v>0</v>
      </c>
      <c r="AR172" s="137" t="s">
        <v>206</v>
      </c>
      <c r="AT172" s="137" t="s">
        <v>144</v>
      </c>
      <c r="AU172" s="137" t="s">
        <v>143</v>
      </c>
      <c r="AY172" s="15" t="s">
        <v>141</v>
      </c>
      <c r="BE172" s="138">
        <f t="shared" si="24"/>
        <v>0</v>
      </c>
      <c r="BF172" s="138">
        <f t="shared" si="25"/>
        <v>1494</v>
      </c>
      <c r="BG172" s="138">
        <f t="shared" si="26"/>
        <v>0</v>
      </c>
      <c r="BH172" s="138">
        <f t="shared" si="27"/>
        <v>0</v>
      </c>
      <c r="BI172" s="138">
        <f t="shared" si="28"/>
        <v>0</v>
      </c>
      <c r="BJ172" s="15" t="s">
        <v>143</v>
      </c>
      <c r="BK172" s="138">
        <f t="shared" si="29"/>
        <v>1494</v>
      </c>
      <c r="BL172" s="15" t="s">
        <v>206</v>
      </c>
      <c r="BM172" s="137" t="s">
        <v>1530</v>
      </c>
    </row>
    <row r="173" spans="2:65" s="1" customFormat="1" ht="21.75" customHeight="1">
      <c r="B173" s="126"/>
      <c r="C173" s="127" t="s">
        <v>326</v>
      </c>
      <c r="D173" s="127" t="s">
        <v>144</v>
      </c>
      <c r="E173" s="128" t="s">
        <v>1370</v>
      </c>
      <c r="F173" s="129" t="s">
        <v>1369</v>
      </c>
      <c r="G173" s="130" t="s">
        <v>147</v>
      </c>
      <c r="H173" s="131">
        <v>1</v>
      </c>
      <c r="I173" s="132">
        <v>371</v>
      </c>
      <c r="J173" s="132">
        <f t="shared" si="20"/>
        <v>371</v>
      </c>
      <c r="K173" s="129" t="s">
        <v>148</v>
      </c>
      <c r="L173" s="27"/>
      <c r="M173" s="133" t="s">
        <v>1</v>
      </c>
      <c r="N173" s="134" t="s">
        <v>39</v>
      </c>
      <c r="O173" s="135">
        <v>0.10299999999999999</v>
      </c>
      <c r="P173" s="135">
        <f t="shared" si="21"/>
        <v>0.10299999999999999</v>
      </c>
      <c r="Q173" s="135">
        <v>4.4000000000000002E-4</v>
      </c>
      <c r="R173" s="135">
        <f t="shared" si="22"/>
        <v>4.4000000000000002E-4</v>
      </c>
      <c r="S173" s="135">
        <v>0</v>
      </c>
      <c r="T173" s="136">
        <f t="shared" si="23"/>
        <v>0</v>
      </c>
      <c r="AR173" s="137" t="s">
        <v>206</v>
      </c>
      <c r="AT173" s="137" t="s">
        <v>144</v>
      </c>
      <c r="AU173" s="137" t="s">
        <v>143</v>
      </c>
      <c r="AY173" s="15" t="s">
        <v>141</v>
      </c>
      <c r="BE173" s="138">
        <f t="shared" si="24"/>
        <v>0</v>
      </c>
      <c r="BF173" s="138">
        <f t="shared" si="25"/>
        <v>371</v>
      </c>
      <c r="BG173" s="138">
        <f t="shared" si="26"/>
        <v>0</v>
      </c>
      <c r="BH173" s="138">
        <f t="shared" si="27"/>
        <v>0</v>
      </c>
      <c r="BI173" s="138">
        <f t="shared" si="28"/>
        <v>0</v>
      </c>
      <c r="BJ173" s="15" t="s">
        <v>143</v>
      </c>
      <c r="BK173" s="138">
        <f t="shared" si="29"/>
        <v>371</v>
      </c>
      <c r="BL173" s="15" t="s">
        <v>206</v>
      </c>
      <c r="BM173" s="137" t="s">
        <v>1368</v>
      </c>
    </row>
    <row r="174" spans="2:65" s="1" customFormat="1" ht="21.75" customHeight="1">
      <c r="B174" s="126"/>
      <c r="C174" s="127" t="s">
        <v>1364</v>
      </c>
      <c r="D174" s="127" t="s">
        <v>144</v>
      </c>
      <c r="E174" s="128" t="s">
        <v>1367</v>
      </c>
      <c r="F174" s="129" t="s">
        <v>1366</v>
      </c>
      <c r="G174" s="130" t="s">
        <v>147</v>
      </c>
      <c r="H174" s="131">
        <v>12</v>
      </c>
      <c r="I174" s="132">
        <v>586</v>
      </c>
      <c r="J174" s="132">
        <f t="shared" si="20"/>
        <v>7032</v>
      </c>
      <c r="K174" s="129" t="s">
        <v>148</v>
      </c>
      <c r="L174" s="27"/>
      <c r="M174" s="133" t="s">
        <v>1</v>
      </c>
      <c r="N174" s="134" t="s">
        <v>39</v>
      </c>
      <c r="O174" s="135">
        <v>0.124</v>
      </c>
      <c r="P174" s="135">
        <f t="shared" si="21"/>
        <v>1.488</v>
      </c>
      <c r="Q174" s="135">
        <v>7.5000000000000002E-4</v>
      </c>
      <c r="R174" s="135">
        <f t="shared" si="22"/>
        <v>9.0000000000000011E-3</v>
      </c>
      <c r="S174" s="135">
        <v>0</v>
      </c>
      <c r="T174" s="136">
        <f t="shared" si="23"/>
        <v>0</v>
      </c>
      <c r="AR174" s="137" t="s">
        <v>206</v>
      </c>
      <c r="AT174" s="137" t="s">
        <v>144</v>
      </c>
      <c r="AU174" s="137" t="s">
        <v>143</v>
      </c>
      <c r="AY174" s="15" t="s">
        <v>141</v>
      </c>
      <c r="BE174" s="138">
        <f t="shared" si="24"/>
        <v>0</v>
      </c>
      <c r="BF174" s="138">
        <f t="shared" si="25"/>
        <v>7032</v>
      </c>
      <c r="BG174" s="138">
        <f t="shared" si="26"/>
        <v>0</v>
      </c>
      <c r="BH174" s="138">
        <f t="shared" si="27"/>
        <v>0</v>
      </c>
      <c r="BI174" s="138">
        <f t="shared" si="28"/>
        <v>0</v>
      </c>
      <c r="BJ174" s="15" t="s">
        <v>143</v>
      </c>
      <c r="BK174" s="138">
        <f t="shared" si="29"/>
        <v>7032</v>
      </c>
      <c r="BL174" s="15" t="s">
        <v>206</v>
      </c>
      <c r="BM174" s="137" t="s">
        <v>1365</v>
      </c>
    </row>
    <row r="175" spans="2:65" s="1" customFormat="1" ht="33" customHeight="1">
      <c r="B175" s="126"/>
      <c r="C175" s="127" t="s">
        <v>1360</v>
      </c>
      <c r="D175" s="127" t="s">
        <v>144</v>
      </c>
      <c r="E175" s="128" t="s">
        <v>1363</v>
      </c>
      <c r="F175" s="129" t="s">
        <v>1362</v>
      </c>
      <c r="G175" s="130" t="s">
        <v>147</v>
      </c>
      <c r="H175" s="131">
        <v>7</v>
      </c>
      <c r="I175" s="132">
        <v>698</v>
      </c>
      <c r="J175" s="132">
        <f t="shared" si="20"/>
        <v>4886</v>
      </c>
      <c r="K175" s="129" t="s">
        <v>148</v>
      </c>
      <c r="L175" s="27"/>
      <c r="M175" s="133" t="s">
        <v>1</v>
      </c>
      <c r="N175" s="134" t="s">
        <v>39</v>
      </c>
      <c r="O175" s="135">
        <v>0.13</v>
      </c>
      <c r="P175" s="135">
        <f t="shared" si="21"/>
        <v>0.91</v>
      </c>
      <c r="Q175" s="135">
        <v>3.8999999999999999E-4</v>
      </c>
      <c r="R175" s="135">
        <f t="shared" si="22"/>
        <v>2.7299999999999998E-3</v>
      </c>
      <c r="S175" s="135">
        <v>0</v>
      </c>
      <c r="T175" s="136">
        <f t="shared" si="23"/>
        <v>0</v>
      </c>
      <c r="AR175" s="137" t="s">
        <v>206</v>
      </c>
      <c r="AT175" s="137" t="s">
        <v>144</v>
      </c>
      <c r="AU175" s="137" t="s">
        <v>143</v>
      </c>
      <c r="AY175" s="15" t="s">
        <v>141</v>
      </c>
      <c r="BE175" s="138">
        <f t="shared" si="24"/>
        <v>0</v>
      </c>
      <c r="BF175" s="138">
        <f t="shared" si="25"/>
        <v>4886</v>
      </c>
      <c r="BG175" s="138">
        <f t="shared" si="26"/>
        <v>0</v>
      </c>
      <c r="BH175" s="138">
        <f t="shared" si="27"/>
        <v>0</v>
      </c>
      <c r="BI175" s="138">
        <f t="shared" si="28"/>
        <v>0</v>
      </c>
      <c r="BJ175" s="15" t="s">
        <v>143</v>
      </c>
      <c r="BK175" s="138">
        <f t="shared" si="29"/>
        <v>4886</v>
      </c>
      <c r="BL175" s="15" t="s">
        <v>206</v>
      </c>
      <c r="BM175" s="137" t="s">
        <v>1361</v>
      </c>
    </row>
    <row r="176" spans="2:65" s="1" customFormat="1" ht="24.2" customHeight="1">
      <c r="B176" s="126"/>
      <c r="C176" s="127" t="s">
        <v>1356</v>
      </c>
      <c r="D176" s="127" t="s">
        <v>144</v>
      </c>
      <c r="E176" s="128" t="s">
        <v>1359</v>
      </c>
      <c r="F176" s="129" t="s">
        <v>1358</v>
      </c>
      <c r="G176" s="130" t="s">
        <v>147</v>
      </c>
      <c r="H176" s="131">
        <v>7</v>
      </c>
      <c r="I176" s="132">
        <v>254</v>
      </c>
      <c r="J176" s="132">
        <f t="shared" si="20"/>
        <v>1778</v>
      </c>
      <c r="K176" s="129" t="s">
        <v>148</v>
      </c>
      <c r="L176" s="27"/>
      <c r="M176" s="133" t="s">
        <v>1</v>
      </c>
      <c r="N176" s="134" t="s">
        <v>39</v>
      </c>
      <c r="O176" s="135">
        <v>8.2000000000000003E-2</v>
      </c>
      <c r="P176" s="135">
        <f t="shared" si="21"/>
        <v>0.57400000000000007</v>
      </c>
      <c r="Q176" s="135">
        <v>2.2000000000000001E-4</v>
      </c>
      <c r="R176" s="135">
        <f t="shared" si="22"/>
        <v>1.5400000000000001E-3</v>
      </c>
      <c r="S176" s="135">
        <v>0</v>
      </c>
      <c r="T176" s="136">
        <f t="shared" si="23"/>
        <v>0</v>
      </c>
      <c r="AR176" s="137" t="s">
        <v>206</v>
      </c>
      <c r="AT176" s="137" t="s">
        <v>144</v>
      </c>
      <c r="AU176" s="137" t="s">
        <v>143</v>
      </c>
      <c r="AY176" s="15" t="s">
        <v>141</v>
      </c>
      <c r="BE176" s="138">
        <f t="shared" si="24"/>
        <v>0</v>
      </c>
      <c r="BF176" s="138">
        <f t="shared" si="25"/>
        <v>1778</v>
      </c>
      <c r="BG176" s="138">
        <f t="shared" si="26"/>
        <v>0</v>
      </c>
      <c r="BH176" s="138">
        <f t="shared" si="27"/>
        <v>0</v>
      </c>
      <c r="BI176" s="138">
        <f t="shared" si="28"/>
        <v>0</v>
      </c>
      <c r="BJ176" s="15" t="s">
        <v>143</v>
      </c>
      <c r="BK176" s="138">
        <f t="shared" si="29"/>
        <v>1778</v>
      </c>
      <c r="BL176" s="15" t="s">
        <v>206</v>
      </c>
      <c r="BM176" s="137" t="s">
        <v>1357</v>
      </c>
    </row>
    <row r="177" spans="2:65" s="1" customFormat="1" ht="24.2" customHeight="1">
      <c r="B177" s="126"/>
      <c r="C177" s="127" t="s">
        <v>331</v>
      </c>
      <c r="D177" s="127" t="s">
        <v>144</v>
      </c>
      <c r="E177" s="128" t="s">
        <v>1355</v>
      </c>
      <c r="F177" s="129" t="s">
        <v>1354</v>
      </c>
      <c r="G177" s="130" t="s">
        <v>147</v>
      </c>
      <c r="H177" s="131">
        <v>1</v>
      </c>
      <c r="I177" s="132">
        <v>1490</v>
      </c>
      <c r="J177" s="132">
        <f t="shared" si="20"/>
        <v>1490</v>
      </c>
      <c r="K177" s="129" t="s">
        <v>148</v>
      </c>
      <c r="L177" s="27"/>
      <c r="M177" s="133" t="s">
        <v>1</v>
      </c>
      <c r="N177" s="134" t="s">
        <v>39</v>
      </c>
      <c r="O177" s="135">
        <v>0.42199999999999999</v>
      </c>
      <c r="P177" s="135">
        <f t="shared" si="21"/>
        <v>0.42199999999999999</v>
      </c>
      <c r="Q177" s="135">
        <v>1.73E-3</v>
      </c>
      <c r="R177" s="135">
        <f t="shared" si="22"/>
        <v>1.73E-3</v>
      </c>
      <c r="S177" s="135">
        <v>0</v>
      </c>
      <c r="T177" s="136">
        <f t="shared" si="23"/>
        <v>0</v>
      </c>
      <c r="AR177" s="137" t="s">
        <v>206</v>
      </c>
      <c r="AT177" s="137" t="s">
        <v>144</v>
      </c>
      <c r="AU177" s="137" t="s">
        <v>143</v>
      </c>
      <c r="AY177" s="15" t="s">
        <v>141</v>
      </c>
      <c r="BE177" s="138">
        <f t="shared" si="24"/>
        <v>0</v>
      </c>
      <c r="BF177" s="138">
        <f t="shared" si="25"/>
        <v>1490</v>
      </c>
      <c r="BG177" s="138">
        <f t="shared" si="26"/>
        <v>0</v>
      </c>
      <c r="BH177" s="138">
        <f t="shared" si="27"/>
        <v>0</v>
      </c>
      <c r="BI177" s="138">
        <f t="shared" si="28"/>
        <v>0</v>
      </c>
      <c r="BJ177" s="15" t="s">
        <v>143</v>
      </c>
      <c r="BK177" s="138">
        <f t="shared" si="29"/>
        <v>1490</v>
      </c>
      <c r="BL177" s="15" t="s">
        <v>206</v>
      </c>
      <c r="BM177" s="137" t="s">
        <v>1353</v>
      </c>
    </row>
    <row r="178" spans="2:65" s="1" customFormat="1" ht="24.2" customHeight="1">
      <c r="B178" s="126"/>
      <c r="C178" s="127" t="s">
        <v>335</v>
      </c>
      <c r="D178" s="127" t="s">
        <v>144</v>
      </c>
      <c r="E178" s="128" t="s">
        <v>1352</v>
      </c>
      <c r="F178" s="129" t="s">
        <v>1351</v>
      </c>
      <c r="G178" s="130" t="s">
        <v>147</v>
      </c>
      <c r="H178" s="131">
        <v>2</v>
      </c>
      <c r="I178" s="132">
        <v>735</v>
      </c>
      <c r="J178" s="132">
        <f t="shared" si="20"/>
        <v>1470</v>
      </c>
      <c r="K178" s="129" t="s">
        <v>148</v>
      </c>
      <c r="L178" s="27"/>
      <c r="M178" s="133" t="s">
        <v>1</v>
      </c>
      <c r="N178" s="134" t="s">
        <v>39</v>
      </c>
      <c r="O178" s="135">
        <v>0.26800000000000002</v>
      </c>
      <c r="P178" s="135">
        <f t="shared" si="21"/>
        <v>0.53600000000000003</v>
      </c>
      <c r="Q178" s="135">
        <v>1.24E-3</v>
      </c>
      <c r="R178" s="135">
        <f t="shared" si="22"/>
        <v>2.48E-3</v>
      </c>
      <c r="S178" s="135">
        <v>0</v>
      </c>
      <c r="T178" s="136">
        <f t="shared" si="23"/>
        <v>0</v>
      </c>
      <c r="AR178" s="137" t="s">
        <v>206</v>
      </c>
      <c r="AT178" s="137" t="s">
        <v>144</v>
      </c>
      <c r="AU178" s="137" t="s">
        <v>143</v>
      </c>
      <c r="AY178" s="15" t="s">
        <v>141</v>
      </c>
      <c r="BE178" s="138">
        <f t="shared" si="24"/>
        <v>0</v>
      </c>
      <c r="BF178" s="138">
        <f t="shared" si="25"/>
        <v>1470</v>
      </c>
      <c r="BG178" s="138">
        <f t="shared" si="26"/>
        <v>0</v>
      </c>
      <c r="BH178" s="138">
        <f t="shared" si="27"/>
        <v>0</v>
      </c>
      <c r="BI178" s="138">
        <f t="shared" si="28"/>
        <v>0</v>
      </c>
      <c r="BJ178" s="15" t="s">
        <v>143</v>
      </c>
      <c r="BK178" s="138">
        <f t="shared" si="29"/>
        <v>1470</v>
      </c>
      <c r="BL178" s="15" t="s">
        <v>206</v>
      </c>
      <c r="BM178" s="137" t="s">
        <v>1529</v>
      </c>
    </row>
    <row r="179" spans="2:65" s="1" customFormat="1" ht="24.2" customHeight="1">
      <c r="B179" s="126"/>
      <c r="C179" s="127" t="s">
        <v>339</v>
      </c>
      <c r="D179" s="127" t="s">
        <v>144</v>
      </c>
      <c r="E179" s="128" t="s">
        <v>1349</v>
      </c>
      <c r="F179" s="129" t="s">
        <v>1348</v>
      </c>
      <c r="G179" s="130" t="s">
        <v>147</v>
      </c>
      <c r="H179" s="131">
        <v>1</v>
      </c>
      <c r="I179" s="132">
        <v>293</v>
      </c>
      <c r="J179" s="132">
        <f t="shared" si="20"/>
        <v>293</v>
      </c>
      <c r="K179" s="129" t="s">
        <v>148</v>
      </c>
      <c r="L179" s="27"/>
      <c r="M179" s="133" t="s">
        <v>1</v>
      </c>
      <c r="N179" s="134" t="s">
        <v>39</v>
      </c>
      <c r="O179" s="135">
        <v>0.16</v>
      </c>
      <c r="P179" s="135">
        <f t="shared" si="21"/>
        <v>0.16</v>
      </c>
      <c r="Q179" s="135">
        <v>2.3000000000000001E-4</v>
      </c>
      <c r="R179" s="135">
        <f t="shared" si="22"/>
        <v>2.3000000000000001E-4</v>
      </c>
      <c r="S179" s="135">
        <v>0</v>
      </c>
      <c r="T179" s="136">
        <f t="shared" si="23"/>
        <v>0</v>
      </c>
      <c r="AR179" s="137" t="s">
        <v>206</v>
      </c>
      <c r="AT179" s="137" t="s">
        <v>144</v>
      </c>
      <c r="AU179" s="137" t="s">
        <v>143</v>
      </c>
      <c r="AY179" s="15" t="s">
        <v>141</v>
      </c>
      <c r="BE179" s="138">
        <f t="shared" si="24"/>
        <v>0</v>
      </c>
      <c r="BF179" s="138">
        <f t="shared" si="25"/>
        <v>293</v>
      </c>
      <c r="BG179" s="138">
        <f t="shared" si="26"/>
        <v>0</v>
      </c>
      <c r="BH179" s="138">
        <f t="shared" si="27"/>
        <v>0</v>
      </c>
      <c r="BI179" s="138">
        <f t="shared" si="28"/>
        <v>0</v>
      </c>
      <c r="BJ179" s="15" t="s">
        <v>143</v>
      </c>
      <c r="BK179" s="138">
        <f t="shared" si="29"/>
        <v>293</v>
      </c>
      <c r="BL179" s="15" t="s">
        <v>206</v>
      </c>
      <c r="BM179" s="137" t="s">
        <v>1528</v>
      </c>
    </row>
    <row r="180" spans="2:65" s="1" customFormat="1" ht="24.2" customHeight="1">
      <c r="B180" s="126"/>
      <c r="C180" s="127" t="s">
        <v>347</v>
      </c>
      <c r="D180" s="127" t="s">
        <v>144</v>
      </c>
      <c r="E180" s="128" t="s">
        <v>1346</v>
      </c>
      <c r="F180" s="129" t="s">
        <v>1345</v>
      </c>
      <c r="G180" s="130" t="s">
        <v>147</v>
      </c>
      <c r="H180" s="131">
        <v>2</v>
      </c>
      <c r="I180" s="132">
        <v>592</v>
      </c>
      <c r="J180" s="132">
        <f t="shared" si="20"/>
        <v>1184</v>
      </c>
      <c r="K180" s="129" t="s">
        <v>148</v>
      </c>
      <c r="L180" s="27"/>
      <c r="M180" s="133" t="s">
        <v>1</v>
      </c>
      <c r="N180" s="134" t="s">
        <v>39</v>
      </c>
      <c r="O180" s="135">
        <v>0.22</v>
      </c>
      <c r="P180" s="135">
        <f t="shared" si="21"/>
        <v>0.44</v>
      </c>
      <c r="Q180" s="135">
        <v>5.5000000000000003E-4</v>
      </c>
      <c r="R180" s="135">
        <f t="shared" si="22"/>
        <v>1.1000000000000001E-3</v>
      </c>
      <c r="S180" s="135">
        <v>0</v>
      </c>
      <c r="T180" s="136">
        <f t="shared" si="23"/>
        <v>0</v>
      </c>
      <c r="AR180" s="137" t="s">
        <v>206</v>
      </c>
      <c r="AT180" s="137" t="s">
        <v>144</v>
      </c>
      <c r="AU180" s="137" t="s">
        <v>143</v>
      </c>
      <c r="AY180" s="15" t="s">
        <v>141</v>
      </c>
      <c r="BE180" s="138">
        <f t="shared" si="24"/>
        <v>0</v>
      </c>
      <c r="BF180" s="138">
        <f t="shared" si="25"/>
        <v>1184</v>
      </c>
      <c r="BG180" s="138">
        <f t="shared" si="26"/>
        <v>0</v>
      </c>
      <c r="BH180" s="138">
        <f t="shared" si="27"/>
        <v>0</v>
      </c>
      <c r="BI180" s="138">
        <f t="shared" si="28"/>
        <v>0</v>
      </c>
      <c r="BJ180" s="15" t="s">
        <v>143</v>
      </c>
      <c r="BK180" s="138">
        <f t="shared" si="29"/>
        <v>1184</v>
      </c>
      <c r="BL180" s="15" t="s">
        <v>206</v>
      </c>
      <c r="BM180" s="137" t="s">
        <v>1527</v>
      </c>
    </row>
    <row r="181" spans="2:65" s="1" customFormat="1" ht="24.2" customHeight="1">
      <c r="B181" s="126"/>
      <c r="C181" s="127" t="s">
        <v>343</v>
      </c>
      <c r="D181" s="127" t="s">
        <v>144</v>
      </c>
      <c r="E181" s="128" t="s">
        <v>1343</v>
      </c>
      <c r="F181" s="129" t="s">
        <v>1342</v>
      </c>
      <c r="G181" s="130" t="s">
        <v>147</v>
      </c>
      <c r="H181" s="131">
        <v>10</v>
      </c>
      <c r="I181" s="132">
        <v>819</v>
      </c>
      <c r="J181" s="132">
        <f t="shared" si="20"/>
        <v>8190</v>
      </c>
      <c r="K181" s="129" t="s">
        <v>148</v>
      </c>
      <c r="L181" s="27"/>
      <c r="M181" s="133" t="s">
        <v>1</v>
      </c>
      <c r="N181" s="134" t="s">
        <v>39</v>
      </c>
      <c r="O181" s="135">
        <v>0.26</v>
      </c>
      <c r="P181" s="135">
        <f t="shared" si="21"/>
        <v>2.6</v>
      </c>
      <c r="Q181" s="135">
        <v>7.6000000000000004E-4</v>
      </c>
      <c r="R181" s="135">
        <f t="shared" si="22"/>
        <v>7.6000000000000009E-3</v>
      </c>
      <c r="S181" s="135">
        <v>0</v>
      </c>
      <c r="T181" s="136">
        <f t="shared" si="23"/>
        <v>0</v>
      </c>
      <c r="AR181" s="137" t="s">
        <v>206</v>
      </c>
      <c r="AT181" s="137" t="s">
        <v>144</v>
      </c>
      <c r="AU181" s="137" t="s">
        <v>143</v>
      </c>
      <c r="AY181" s="15" t="s">
        <v>141</v>
      </c>
      <c r="BE181" s="138">
        <f t="shared" si="24"/>
        <v>0</v>
      </c>
      <c r="BF181" s="138">
        <f t="shared" si="25"/>
        <v>8190</v>
      </c>
      <c r="BG181" s="138">
        <f t="shared" si="26"/>
        <v>0</v>
      </c>
      <c r="BH181" s="138">
        <f t="shared" si="27"/>
        <v>0</v>
      </c>
      <c r="BI181" s="138">
        <f t="shared" si="28"/>
        <v>0</v>
      </c>
      <c r="BJ181" s="15" t="s">
        <v>143</v>
      </c>
      <c r="BK181" s="138">
        <f t="shared" si="29"/>
        <v>8190</v>
      </c>
      <c r="BL181" s="15" t="s">
        <v>206</v>
      </c>
      <c r="BM181" s="137" t="s">
        <v>1526</v>
      </c>
    </row>
    <row r="182" spans="2:65" s="1" customFormat="1" ht="24.2" customHeight="1">
      <c r="B182" s="126"/>
      <c r="C182" s="127" t="s">
        <v>351</v>
      </c>
      <c r="D182" s="127" t="s">
        <v>144</v>
      </c>
      <c r="E182" s="128" t="s">
        <v>1340</v>
      </c>
      <c r="F182" s="129" t="s">
        <v>1339</v>
      </c>
      <c r="G182" s="130" t="s">
        <v>147</v>
      </c>
      <c r="H182" s="131">
        <v>8</v>
      </c>
      <c r="I182" s="132">
        <v>1770</v>
      </c>
      <c r="J182" s="132">
        <f t="shared" si="20"/>
        <v>14160</v>
      </c>
      <c r="K182" s="129" t="s">
        <v>148</v>
      </c>
      <c r="L182" s="27"/>
      <c r="M182" s="133" t="s">
        <v>1</v>
      </c>
      <c r="N182" s="134" t="s">
        <v>39</v>
      </c>
      <c r="O182" s="135">
        <v>0.41</v>
      </c>
      <c r="P182" s="135">
        <f t="shared" si="21"/>
        <v>3.28</v>
      </c>
      <c r="Q182" s="135">
        <v>1.8600000000000001E-3</v>
      </c>
      <c r="R182" s="135">
        <f t="shared" si="22"/>
        <v>1.4880000000000001E-2</v>
      </c>
      <c r="S182" s="135">
        <v>0</v>
      </c>
      <c r="T182" s="136">
        <f t="shared" si="23"/>
        <v>0</v>
      </c>
      <c r="AR182" s="137" t="s">
        <v>206</v>
      </c>
      <c r="AT182" s="137" t="s">
        <v>144</v>
      </c>
      <c r="AU182" s="137" t="s">
        <v>143</v>
      </c>
      <c r="AY182" s="15" t="s">
        <v>141</v>
      </c>
      <c r="BE182" s="138">
        <f t="shared" si="24"/>
        <v>0</v>
      </c>
      <c r="BF182" s="138">
        <f t="shared" si="25"/>
        <v>14160</v>
      </c>
      <c r="BG182" s="138">
        <f t="shared" si="26"/>
        <v>0</v>
      </c>
      <c r="BH182" s="138">
        <f t="shared" si="27"/>
        <v>0</v>
      </c>
      <c r="BI182" s="138">
        <f t="shared" si="28"/>
        <v>0</v>
      </c>
      <c r="BJ182" s="15" t="s">
        <v>143</v>
      </c>
      <c r="BK182" s="138">
        <f t="shared" si="29"/>
        <v>14160</v>
      </c>
      <c r="BL182" s="15" t="s">
        <v>206</v>
      </c>
      <c r="BM182" s="137" t="s">
        <v>1338</v>
      </c>
    </row>
    <row r="183" spans="2:65" s="1" customFormat="1" ht="37.9" customHeight="1">
      <c r="B183" s="126"/>
      <c r="C183" s="127" t="s">
        <v>355</v>
      </c>
      <c r="D183" s="127" t="s">
        <v>144</v>
      </c>
      <c r="E183" s="128" t="s">
        <v>1337</v>
      </c>
      <c r="F183" s="129" t="s">
        <v>1336</v>
      </c>
      <c r="G183" s="130" t="s">
        <v>147</v>
      </c>
      <c r="H183" s="131">
        <v>1</v>
      </c>
      <c r="I183" s="132">
        <v>5610</v>
      </c>
      <c r="J183" s="132">
        <f t="shared" si="20"/>
        <v>5610</v>
      </c>
      <c r="K183" s="129" t="s">
        <v>148</v>
      </c>
      <c r="L183" s="27"/>
      <c r="M183" s="133" t="s">
        <v>1</v>
      </c>
      <c r="N183" s="134" t="s">
        <v>39</v>
      </c>
      <c r="O183" s="135">
        <v>0.34</v>
      </c>
      <c r="P183" s="135">
        <f t="shared" si="21"/>
        <v>0.34</v>
      </c>
      <c r="Q183" s="135">
        <v>1.72E-3</v>
      </c>
      <c r="R183" s="135">
        <f t="shared" si="22"/>
        <v>1.72E-3</v>
      </c>
      <c r="S183" s="135">
        <v>0</v>
      </c>
      <c r="T183" s="136">
        <f t="shared" si="23"/>
        <v>0</v>
      </c>
      <c r="AR183" s="137" t="s">
        <v>206</v>
      </c>
      <c r="AT183" s="137" t="s">
        <v>144</v>
      </c>
      <c r="AU183" s="137" t="s">
        <v>143</v>
      </c>
      <c r="AY183" s="15" t="s">
        <v>141</v>
      </c>
      <c r="BE183" s="138">
        <f t="shared" si="24"/>
        <v>0</v>
      </c>
      <c r="BF183" s="138">
        <f t="shared" si="25"/>
        <v>5610</v>
      </c>
      <c r="BG183" s="138">
        <f t="shared" si="26"/>
        <v>0</v>
      </c>
      <c r="BH183" s="138">
        <f t="shared" si="27"/>
        <v>0</v>
      </c>
      <c r="BI183" s="138">
        <f t="shared" si="28"/>
        <v>0</v>
      </c>
      <c r="BJ183" s="15" t="s">
        <v>143</v>
      </c>
      <c r="BK183" s="138">
        <f t="shared" si="29"/>
        <v>5610</v>
      </c>
      <c r="BL183" s="15" t="s">
        <v>206</v>
      </c>
      <c r="BM183" s="137" t="s">
        <v>1525</v>
      </c>
    </row>
    <row r="184" spans="2:65" s="1" customFormat="1" ht="37.9" customHeight="1">
      <c r="B184" s="126"/>
      <c r="C184" s="127" t="s">
        <v>359</v>
      </c>
      <c r="D184" s="127" t="s">
        <v>144</v>
      </c>
      <c r="E184" s="128" t="s">
        <v>1334</v>
      </c>
      <c r="F184" s="129" t="s">
        <v>1333</v>
      </c>
      <c r="G184" s="130" t="s">
        <v>147</v>
      </c>
      <c r="H184" s="131">
        <v>2</v>
      </c>
      <c r="I184" s="132">
        <v>608</v>
      </c>
      <c r="J184" s="132">
        <f t="shared" si="20"/>
        <v>1216</v>
      </c>
      <c r="K184" s="129" t="s">
        <v>148</v>
      </c>
      <c r="L184" s="27"/>
      <c r="M184" s="133" t="s">
        <v>1</v>
      </c>
      <c r="N184" s="134" t="s">
        <v>39</v>
      </c>
      <c r="O184" s="135">
        <v>0.38100000000000001</v>
      </c>
      <c r="P184" s="135">
        <f t="shared" si="21"/>
        <v>0.76200000000000001</v>
      </c>
      <c r="Q184" s="135">
        <v>5.2999999999999998E-4</v>
      </c>
      <c r="R184" s="135">
        <f t="shared" si="22"/>
        <v>1.06E-3</v>
      </c>
      <c r="S184" s="135">
        <v>0</v>
      </c>
      <c r="T184" s="136">
        <f t="shared" si="23"/>
        <v>0</v>
      </c>
      <c r="AR184" s="137" t="s">
        <v>206</v>
      </c>
      <c r="AT184" s="137" t="s">
        <v>144</v>
      </c>
      <c r="AU184" s="137" t="s">
        <v>143</v>
      </c>
      <c r="AY184" s="15" t="s">
        <v>141</v>
      </c>
      <c r="BE184" s="138">
        <f t="shared" si="24"/>
        <v>0</v>
      </c>
      <c r="BF184" s="138">
        <f t="shared" si="25"/>
        <v>1216</v>
      </c>
      <c r="BG184" s="138">
        <f t="shared" si="26"/>
        <v>0</v>
      </c>
      <c r="BH184" s="138">
        <f t="shared" si="27"/>
        <v>0</v>
      </c>
      <c r="BI184" s="138">
        <f t="shared" si="28"/>
        <v>0</v>
      </c>
      <c r="BJ184" s="15" t="s">
        <v>143</v>
      </c>
      <c r="BK184" s="138">
        <f t="shared" si="29"/>
        <v>1216</v>
      </c>
      <c r="BL184" s="15" t="s">
        <v>206</v>
      </c>
      <c r="BM184" s="137" t="s">
        <v>1332</v>
      </c>
    </row>
    <row r="185" spans="2:65" s="1" customFormat="1" ht="37.9" customHeight="1">
      <c r="B185" s="126"/>
      <c r="C185" s="127" t="s">
        <v>365</v>
      </c>
      <c r="D185" s="127" t="s">
        <v>144</v>
      </c>
      <c r="E185" s="128" t="s">
        <v>1331</v>
      </c>
      <c r="F185" s="129" t="s">
        <v>1330</v>
      </c>
      <c r="G185" s="130" t="s">
        <v>147</v>
      </c>
      <c r="H185" s="131">
        <v>1</v>
      </c>
      <c r="I185" s="132">
        <v>1150</v>
      </c>
      <c r="J185" s="132">
        <f t="shared" si="20"/>
        <v>1150</v>
      </c>
      <c r="K185" s="129" t="s">
        <v>148</v>
      </c>
      <c r="L185" s="27"/>
      <c r="M185" s="133" t="s">
        <v>1</v>
      </c>
      <c r="N185" s="134" t="s">
        <v>39</v>
      </c>
      <c r="O185" s="135">
        <v>0.433</v>
      </c>
      <c r="P185" s="135">
        <f t="shared" si="21"/>
        <v>0.433</v>
      </c>
      <c r="Q185" s="135">
        <v>1.47E-3</v>
      </c>
      <c r="R185" s="135">
        <f t="shared" si="22"/>
        <v>1.47E-3</v>
      </c>
      <c r="S185" s="135">
        <v>0</v>
      </c>
      <c r="T185" s="136">
        <f t="shared" si="23"/>
        <v>0</v>
      </c>
      <c r="AR185" s="137" t="s">
        <v>206</v>
      </c>
      <c r="AT185" s="137" t="s">
        <v>144</v>
      </c>
      <c r="AU185" s="137" t="s">
        <v>143</v>
      </c>
      <c r="AY185" s="15" t="s">
        <v>141</v>
      </c>
      <c r="BE185" s="138">
        <f t="shared" si="24"/>
        <v>0</v>
      </c>
      <c r="BF185" s="138">
        <f t="shared" si="25"/>
        <v>1150</v>
      </c>
      <c r="BG185" s="138">
        <f t="shared" si="26"/>
        <v>0</v>
      </c>
      <c r="BH185" s="138">
        <f t="shared" si="27"/>
        <v>0</v>
      </c>
      <c r="BI185" s="138">
        <f t="shared" si="28"/>
        <v>0</v>
      </c>
      <c r="BJ185" s="15" t="s">
        <v>143</v>
      </c>
      <c r="BK185" s="138">
        <f t="shared" si="29"/>
        <v>1150</v>
      </c>
      <c r="BL185" s="15" t="s">
        <v>206</v>
      </c>
      <c r="BM185" s="137" t="s">
        <v>1329</v>
      </c>
    </row>
    <row r="186" spans="2:65" s="1" customFormat="1" ht="24.2" customHeight="1">
      <c r="B186" s="126"/>
      <c r="C186" s="127" t="s">
        <v>370</v>
      </c>
      <c r="D186" s="127" t="s">
        <v>144</v>
      </c>
      <c r="E186" s="128" t="s">
        <v>1328</v>
      </c>
      <c r="F186" s="129" t="s">
        <v>1327</v>
      </c>
      <c r="G186" s="130" t="s">
        <v>147</v>
      </c>
      <c r="H186" s="131">
        <v>1</v>
      </c>
      <c r="I186" s="132">
        <v>374</v>
      </c>
      <c r="J186" s="132">
        <f t="shared" si="20"/>
        <v>374</v>
      </c>
      <c r="K186" s="129" t="s">
        <v>148</v>
      </c>
      <c r="L186" s="27"/>
      <c r="M186" s="133" t="s">
        <v>1</v>
      </c>
      <c r="N186" s="134" t="s">
        <v>39</v>
      </c>
      <c r="O186" s="135">
        <v>0.20599999999999999</v>
      </c>
      <c r="P186" s="135">
        <f t="shared" si="21"/>
        <v>0.20599999999999999</v>
      </c>
      <c r="Q186" s="135">
        <v>7.5000000000000002E-4</v>
      </c>
      <c r="R186" s="135">
        <f t="shared" si="22"/>
        <v>7.5000000000000002E-4</v>
      </c>
      <c r="S186" s="135">
        <v>0</v>
      </c>
      <c r="T186" s="136">
        <f t="shared" si="23"/>
        <v>0</v>
      </c>
      <c r="AR186" s="137" t="s">
        <v>206</v>
      </c>
      <c r="AT186" s="137" t="s">
        <v>144</v>
      </c>
      <c r="AU186" s="137" t="s">
        <v>143</v>
      </c>
      <c r="AY186" s="15" t="s">
        <v>141</v>
      </c>
      <c r="BE186" s="138">
        <f t="shared" si="24"/>
        <v>0</v>
      </c>
      <c r="BF186" s="138">
        <f t="shared" si="25"/>
        <v>374</v>
      </c>
      <c r="BG186" s="138">
        <f t="shared" si="26"/>
        <v>0</v>
      </c>
      <c r="BH186" s="138">
        <f t="shared" si="27"/>
        <v>0</v>
      </c>
      <c r="BI186" s="138">
        <f t="shared" si="28"/>
        <v>0</v>
      </c>
      <c r="BJ186" s="15" t="s">
        <v>143</v>
      </c>
      <c r="BK186" s="138">
        <f t="shared" si="29"/>
        <v>374</v>
      </c>
      <c r="BL186" s="15" t="s">
        <v>206</v>
      </c>
      <c r="BM186" s="137" t="s">
        <v>1326</v>
      </c>
    </row>
    <row r="187" spans="2:65" s="1" customFormat="1" ht="44.25" customHeight="1">
      <c r="B187" s="126"/>
      <c r="C187" s="127" t="s">
        <v>374</v>
      </c>
      <c r="D187" s="127" t="s">
        <v>144</v>
      </c>
      <c r="E187" s="128" t="s">
        <v>1325</v>
      </c>
      <c r="F187" s="129" t="s">
        <v>1324</v>
      </c>
      <c r="G187" s="130" t="s">
        <v>179</v>
      </c>
      <c r="H187" s="131">
        <v>5.5E-2</v>
      </c>
      <c r="I187" s="132">
        <v>1050</v>
      </c>
      <c r="J187" s="132">
        <f t="shared" si="20"/>
        <v>57.75</v>
      </c>
      <c r="K187" s="129" t="s">
        <v>148</v>
      </c>
      <c r="L187" s="27"/>
      <c r="M187" s="133" t="s">
        <v>1</v>
      </c>
      <c r="N187" s="134" t="s">
        <v>39</v>
      </c>
      <c r="O187" s="135">
        <v>2.5</v>
      </c>
      <c r="P187" s="135">
        <f t="shared" si="21"/>
        <v>0.13750000000000001</v>
      </c>
      <c r="Q187" s="135">
        <v>0</v>
      </c>
      <c r="R187" s="135">
        <f t="shared" si="22"/>
        <v>0</v>
      </c>
      <c r="S187" s="135">
        <v>0</v>
      </c>
      <c r="T187" s="136">
        <f t="shared" si="23"/>
        <v>0</v>
      </c>
      <c r="AR187" s="137" t="s">
        <v>206</v>
      </c>
      <c r="AT187" s="137" t="s">
        <v>144</v>
      </c>
      <c r="AU187" s="137" t="s">
        <v>143</v>
      </c>
      <c r="AY187" s="15" t="s">
        <v>141</v>
      </c>
      <c r="BE187" s="138">
        <f t="shared" si="24"/>
        <v>0</v>
      </c>
      <c r="BF187" s="138">
        <f t="shared" si="25"/>
        <v>57.75</v>
      </c>
      <c r="BG187" s="138">
        <f t="shared" si="26"/>
        <v>0</v>
      </c>
      <c r="BH187" s="138">
        <f t="shared" si="27"/>
        <v>0</v>
      </c>
      <c r="BI187" s="138">
        <f t="shared" si="28"/>
        <v>0</v>
      </c>
      <c r="BJ187" s="15" t="s">
        <v>143</v>
      </c>
      <c r="BK187" s="138">
        <f t="shared" si="29"/>
        <v>57.75</v>
      </c>
      <c r="BL187" s="15" t="s">
        <v>206</v>
      </c>
      <c r="BM187" s="137" t="s">
        <v>1323</v>
      </c>
    </row>
    <row r="188" spans="2:65" s="11" customFormat="1" ht="22.9" customHeight="1">
      <c r="B188" s="115"/>
      <c r="D188" s="116" t="s">
        <v>72</v>
      </c>
      <c r="E188" s="124" t="s">
        <v>1322</v>
      </c>
      <c r="F188" s="124" t="s">
        <v>1321</v>
      </c>
      <c r="J188" s="125">
        <f>BK188</f>
        <v>1406266.44</v>
      </c>
      <c r="L188" s="115"/>
      <c r="M188" s="119"/>
      <c r="P188" s="120">
        <f>SUM(P189:P215)</f>
        <v>521.69456000000002</v>
      </c>
      <c r="R188" s="120">
        <f>SUM(R189:R215)</f>
        <v>3.2855399999999992</v>
      </c>
      <c r="T188" s="121">
        <f>SUM(T189:T215)</f>
        <v>0</v>
      </c>
      <c r="AR188" s="116" t="s">
        <v>143</v>
      </c>
      <c r="AT188" s="122" t="s">
        <v>72</v>
      </c>
      <c r="AU188" s="122" t="s">
        <v>81</v>
      </c>
      <c r="AY188" s="116" t="s">
        <v>141</v>
      </c>
      <c r="BK188" s="123">
        <f>SUM(BK189:BK215)</f>
        <v>1406266.44</v>
      </c>
    </row>
    <row r="189" spans="2:65" s="1" customFormat="1" ht="37.9" customHeight="1">
      <c r="B189" s="126"/>
      <c r="C189" s="127" t="s">
        <v>379</v>
      </c>
      <c r="D189" s="127" t="s">
        <v>144</v>
      </c>
      <c r="E189" s="128" t="s">
        <v>1320</v>
      </c>
      <c r="F189" s="129" t="s">
        <v>1319</v>
      </c>
      <c r="G189" s="130" t="s">
        <v>147</v>
      </c>
      <c r="H189" s="131">
        <v>144</v>
      </c>
      <c r="I189" s="132">
        <v>71.599999999999994</v>
      </c>
      <c r="J189" s="132">
        <f t="shared" ref="J189:J194" si="30">ROUND(I189*H189,2)</f>
        <v>10310.4</v>
      </c>
      <c r="K189" s="129" t="s">
        <v>148</v>
      </c>
      <c r="L189" s="27"/>
      <c r="M189" s="133" t="s">
        <v>1</v>
      </c>
      <c r="N189" s="134" t="s">
        <v>39</v>
      </c>
      <c r="O189" s="135">
        <v>0.13400000000000001</v>
      </c>
      <c r="P189" s="135">
        <f t="shared" ref="P189:P194" si="31">O189*H189</f>
        <v>19.295999999999999</v>
      </c>
      <c r="Q189" s="135">
        <v>0</v>
      </c>
      <c r="R189" s="135">
        <f t="shared" ref="R189:R194" si="32">Q189*H189</f>
        <v>0</v>
      </c>
      <c r="S189" s="135">
        <v>0</v>
      </c>
      <c r="T189" s="136">
        <f t="shared" ref="T189:T194" si="33">S189*H189</f>
        <v>0</v>
      </c>
      <c r="AR189" s="137" t="s">
        <v>206</v>
      </c>
      <c r="AT189" s="137" t="s">
        <v>144</v>
      </c>
      <c r="AU189" s="137" t="s">
        <v>143</v>
      </c>
      <c r="AY189" s="15" t="s">
        <v>141</v>
      </c>
      <c r="BE189" s="138">
        <f t="shared" ref="BE189:BE194" si="34">IF(N189="základní",J189,0)</f>
        <v>0</v>
      </c>
      <c r="BF189" s="138">
        <f t="shared" ref="BF189:BF194" si="35">IF(N189="snížená",J189,0)</f>
        <v>10310.4</v>
      </c>
      <c r="BG189" s="138">
        <f t="shared" ref="BG189:BG194" si="36">IF(N189="zákl. přenesená",J189,0)</f>
        <v>0</v>
      </c>
      <c r="BH189" s="138">
        <f t="shared" ref="BH189:BH194" si="37">IF(N189="sníž. přenesená",J189,0)</f>
        <v>0</v>
      </c>
      <c r="BI189" s="138">
        <f t="shared" ref="BI189:BI194" si="38">IF(N189="nulová",J189,0)</f>
        <v>0</v>
      </c>
      <c r="BJ189" s="15" t="s">
        <v>143</v>
      </c>
      <c r="BK189" s="138">
        <f t="shared" ref="BK189:BK194" si="39">ROUND(I189*H189,2)</f>
        <v>10310.4</v>
      </c>
      <c r="BL189" s="15" t="s">
        <v>206</v>
      </c>
      <c r="BM189" s="137" t="s">
        <v>1318</v>
      </c>
    </row>
    <row r="190" spans="2:65" s="1" customFormat="1" ht="37.9" customHeight="1">
      <c r="B190" s="126"/>
      <c r="C190" s="127" t="s">
        <v>383</v>
      </c>
      <c r="D190" s="127" t="s">
        <v>144</v>
      </c>
      <c r="E190" s="128" t="s">
        <v>1317</v>
      </c>
      <c r="F190" s="129" t="s">
        <v>1316</v>
      </c>
      <c r="G190" s="130" t="s">
        <v>147</v>
      </c>
      <c r="H190" s="131">
        <v>14</v>
      </c>
      <c r="I190" s="132">
        <v>143</v>
      </c>
      <c r="J190" s="132">
        <f t="shared" si="30"/>
        <v>2002</v>
      </c>
      <c r="K190" s="129" t="s">
        <v>148</v>
      </c>
      <c r="L190" s="27"/>
      <c r="M190" s="133" t="s">
        <v>1</v>
      </c>
      <c r="N190" s="134" t="s">
        <v>39</v>
      </c>
      <c r="O190" s="135">
        <v>0.26800000000000002</v>
      </c>
      <c r="P190" s="135">
        <f t="shared" si="31"/>
        <v>3.7520000000000002</v>
      </c>
      <c r="Q190" s="135">
        <v>0</v>
      </c>
      <c r="R190" s="135">
        <f t="shared" si="32"/>
        <v>0</v>
      </c>
      <c r="S190" s="135">
        <v>0</v>
      </c>
      <c r="T190" s="136">
        <f t="shared" si="33"/>
        <v>0</v>
      </c>
      <c r="AR190" s="137" t="s">
        <v>206</v>
      </c>
      <c r="AT190" s="137" t="s">
        <v>144</v>
      </c>
      <c r="AU190" s="137" t="s">
        <v>143</v>
      </c>
      <c r="AY190" s="15" t="s">
        <v>141</v>
      </c>
      <c r="BE190" s="138">
        <f t="shared" si="34"/>
        <v>0</v>
      </c>
      <c r="BF190" s="138">
        <f t="shared" si="35"/>
        <v>2002</v>
      </c>
      <c r="BG190" s="138">
        <f t="shared" si="36"/>
        <v>0</v>
      </c>
      <c r="BH190" s="138">
        <f t="shared" si="37"/>
        <v>0</v>
      </c>
      <c r="BI190" s="138">
        <f t="shared" si="38"/>
        <v>0</v>
      </c>
      <c r="BJ190" s="15" t="s">
        <v>143</v>
      </c>
      <c r="BK190" s="138">
        <f t="shared" si="39"/>
        <v>2002</v>
      </c>
      <c r="BL190" s="15" t="s">
        <v>206</v>
      </c>
      <c r="BM190" s="137" t="s">
        <v>1315</v>
      </c>
    </row>
    <row r="191" spans="2:65" s="1" customFormat="1" ht="24.2" customHeight="1">
      <c r="B191" s="126"/>
      <c r="C191" s="127" t="s">
        <v>388</v>
      </c>
      <c r="D191" s="127" t="s">
        <v>144</v>
      </c>
      <c r="E191" s="128" t="s">
        <v>1314</v>
      </c>
      <c r="F191" s="129" t="s">
        <v>1313</v>
      </c>
      <c r="G191" s="130" t="s">
        <v>147</v>
      </c>
      <c r="H191" s="131">
        <v>7</v>
      </c>
      <c r="I191" s="132">
        <v>324</v>
      </c>
      <c r="J191" s="132">
        <f t="shared" si="30"/>
        <v>2268</v>
      </c>
      <c r="K191" s="129" t="s">
        <v>148</v>
      </c>
      <c r="L191" s="27"/>
      <c r="M191" s="133" t="s">
        <v>1</v>
      </c>
      <c r="N191" s="134" t="s">
        <v>39</v>
      </c>
      <c r="O191" s="135">
        <v>0.60699999999999998</v>
      </c>
      <c r="P191" s="135">
        <f t="shared" si="31"/>
        <v>4.2489999999999997</v>
      </c>
      <c r="Q191" s="135">
        <v>0</v>
      </c>
      <c r="R191" s="135">
        <f t="shared" si="32"/>
        <v>0</v>
      </c>
      <c r="S191" s="135">
        <v>0</v>
      </c>
      <c r="T191" s="136">
        <f t="shared" si="33"/>
        <v>0</v>
      </c>
      <c r="AR191" s="137" t="s">
        <v>206</v>
      </c>
      <c r="AT191" s="137" t="s">
        <v>144</v>
      </c>
      <c r="AU191" s="137" t="s">
        <v>143</v>
      </c>
      <c r="AY191" s="15" t="s">
        <v>141</v>
      </c>
      <c r="BE191" s="138">
        <f t="shared" si="34"/>
        <v>0</v>
      </c>
      <c r="BF191" s="138">
        <f t="shared" si="35"/>
        <v>2268</v>
      </c>
      <c r="BG191" s="138">
        <f t="shared" si="36"/>
        <v>0</v>
      </c>
      <c r="BH191" s="138">
        <f t="shared" si="37"/>
        <v>0</v>
      </c>
      <c r="BI191" s="138">
        <f t="shared" si="38"/>
        <v>0</v>
      </c>
      <c r="BJ191" s="15" t="s">
        <v>143</v>
      </c>
      <c r="BK191" s="138">
        <f t="shared" si="39"/>
        <v>2268</v>
      </c>
      <c r="BL191" s="15" t="s">
        <v>206</v>
      </c>
      <c r="BM191" s="137" t="s">
        <v>1312</v>
      </c>
    </row>
    <row r="192" spans="2:65" s="1" customFormat="1" ht="16.5" customHeight="1">
      <c r="B192" s="126"/>
      <c r="C192" s="139" t="s">
        <v>392</v>
      </c>
      <c r="D192" s="139" t="s">
        <v>207</v>
      </c>
      <c r="E192" s="140" t="s">
        <v>1311</v>
      </c>
      <c r="F192" s="141" t="s">
        <v>1310</v>
      </c>
      <c r="G192" s="142" t="s">
        <v>147</v>
      </c>
      <c r="H192" s="143">
        <v>7</v>
      </c>
      <c r="I192" s="144">
        <v>7170</v>
      </c>
      <c r="J192" s="144">
        <f t="shared" si="30"/>
        <v>50190</v>
      </c>
      <c r="K192" s="141" t="s">
        <v>148</v>
      </c>
      <c r="L192" s="145"/>
      <c r="M192" s="146" t="s">
        <v>1</v>
      </c>
      <c r="N192" s="147" t="s">
        <v>39</v>
      </c>
      <c r="O192" s="135">
        <v>0</v>
      </c>
      <c r="P192" s="135">
        <f t="shared" si="31"/>
        <v>0</v>
      </c>
      <c r="Q192" s="135">
        <v>4.7399999999999998E-2</v>
      </c>
      <c r="R192" s="135">
        <f t="shared" si="32"/>
        <v>0.33179999999999998</v>
      </c>
      <c r="S192" s="135">
        <v>0</v>
      </c>
      <c r="T192" s="136">
        <f t="shared" si="33"/>
        <v>0</v>
      </c>
      <c r="AR192" s="137" t="s">
        <v>274</v>
      </c>
      <c r="AT192" s="137" t="s">
        <v>207</v>
      </c>
      <c r="AU192" s="137" t="s">
        <v>143</v>
      </c>
      <c r="AY192" s="15" t="s">
        <v>141</v>
      </c>
      <c r="BE192" s="138">
        <f t="shared" si="34"/>
        <v>0</v>
      </c>
      <c r="BF192" s="138">
        <f t="shared" si="35"/>
        <v>50190</v>
      </c>
      <c r="BG192" s="138">
        <f t="shared" si="36"/>
        <v>0</v>
      </c>
      <c r="BH192" s="138">
        <f t="shared" si="37"/>
        <v>0</v>
      </c>
      <c r="BI192" s="138">
        <f t="shared" si="38"/>
        <v>0</v>
      </c>
      <c r="BJ192" s="15" t="s">
        <v>143</v>
      </c>
      <c r="BK192" s="138">
        <f t="shared" si="39"/>
        <v>50190</v>
      </c>
      <c r="BL192" s="15" t="s">
        <v>206</v>
      </c>
      <c r="BM192" s="137" t="s">
        <v>1309</v>
      </c>
    </row>
    <row r="193" spans="2:65" s="1" customFormat="1" ht="21.75" customHeight="1">
      <c r="B193" s="126"/>
      <c r="C193" s="127" t="s">
        <v>397</v>
      </c>
      <c r="D193" s="127" t="s">
        <v>144</v>
      </c>
      <c r="E193" s="128" t="s">
        <v>1308</v>
      </c>
      <c r="F193" s="129" t="s">
        <v>1307</v>
      </c>
      <c r="G193" s="130" t="s">
        <v>147</v>
      </c>
      <c r="H193" s="131">
        <v>16</v>
      </c>
      <c r="I193" s="132">
        <v>28.9</v>
      </c>
      <c r="J193" s="132">
        <f t="shared" si="30"/>
        <v>462.4</v>
      </c>
      <c r="K193" s="129" t="s">
        <v>148</v>
      </c>
      <c r="L193" s="27"/>
      <c r="M193" s="133" t="s">
        <v>1</v>
      </c>
      <c r="N193" s="134" t="s">
        <v>39</v>
      </c>
      <c r="O193" s="135">
        <v>6.2E-2</v>
      </c>
      <c r="P193" s="135">
        <f t="shared" si="31"/>
        <v>0.99199999999999999</v>
      </c>
      <c r="Q193" s="135">
        <v>0</v>
      </c>
      <c r="R193" s="135">
        <f t="shared" si="32"/>
        <v>0</v>
      </c>
      <c r="S193" s="135">
        <v>0</v>
      </c>
      <c r="T193" s="136">
        <f t="shared" si="33"/>
        <v>0</v>
      </c>
      <c r="AR193" s="137" t="s">
        <v>206</v>
      </c>
      <c r="AT193" s="137" t="s">
        <v>144</v>
      </c>
      <c r="AU193" s="137" t="s">
        <v>143</v>
      </c>
      <c r="AY193" s="15" t="s">
        <v>141</v>
      </c>
      <c r="BE193" s="138">
        <f t="shared" si="34"/>
        <v>0</v>
      </c>
      <c r="BF193" s="138">
        <f t="shared" si="35"/>
        <v>462.4</v>
      </c>
      <c r="BG193" s="138">
        <f t="shared" si="36"/>
        <v>0</v>
      </c>
      <c r="BH193" s="138">
        <f t="shared" si="37"/>
        <v>0</v>
      </c>
      <c r="BI193" s="138">
        <f t="shared" si="38"/>
        <v>0</v>
      </c>
      <c r="BJ193" s="15" t="s">
        <v>143</v>
      </c>
      <c r="BK193" s="138">
        <f t="shared" si="39"/>
        <v>462.4</v>
      </c>
      <c r="BL193" s="15" t="s">
        <v>206</v>
      </c>
      <c r="BM193" s="137" t="s">
        <v>1306</v>
      </c>
    </row>
    <row r="194" spans="2:65" s="1" customFormat="1" ht="37.9" customHeight="1">
      <c r="B194" s="126"/>
      <c r="C194" s="127" t="s">
        <v>401</v>
      </c>
      <c r="D194" s="127" t="s">
        <v>144</v>
      </c>
      <c r="E194" s="128" t="s">
        <v>1305</v>
      </c>
      <c r="F194" s="129" t="s">
        <v>1304</v>
      </c>
      <c r="G194" s="130" t="s">
        <v>193</v>
      </c>
      <c r="H194" s="131">
        <v>1100</v>
      </c>
      <c r="I194" s="132">
        <v>58.7</v>
      </c>
      <c r="J194" s="132">
        <f t="shared" si="30"/>
        <v>64570</v>
      </c>
      <c r="K194" s="129" t="s">
        <v>148</v>
      </c>
      <c r="L194" s="27"/>
      <c r="M194" s="133" t="s">
        <v>1</v>
      </c>
      <c r="N194" s="134" t="s">
        <v>39</v>
      </c>
      <c r="O194" s="135">
        <v>2.7E-2</v>
      </c>
      <c r="P194" s="135">
        <f t="shared" si="31"/>
        <v>29.7</v>
      </c>
      <c r="Q194" s="135">
        <v>1.1E-4</v>
      </c>
      <c r="R194" s="135">
        <f t="shared" si="32"/>
        <v>0.12100000000000001</v>
      </c>
      <c r="S194" s="135">
        <v>0</v>
      </c>
      <c r="T194" s="136">
        <f t="shared" si="33"/>
        <v>0</v>
      </c>
      <c r="AR194" s="137" t="s">
        <v>206</v>
      </c>
      <c r="AT194" s="137" t="s">
        <v>144</v>
      </c>
      <c r="AU194" s="137" t="s">
        <v>143</v>
      </c>
      <c r="AY194" s="15" t="s">
        <v>141</v>
      </c>
      <c r="BE194" s="138">
        <f t="shared" si="34"/>
        <v>0</v>
      </c>
      <c r="BF194" s="138">
        <f t="shared" si="35"/>
        <v>64570</v>
      </c>
      <c r="BG194" s="138">
        <f t="shared" si="36"/>
        <v>0</v>
      </c>
      <c r="BH194" s="138">
        <f t="shared" si="37"/>
        <v>0</v>
      </c>
      <c r="BI194" s="138">
        <f t="shared" si="38"/>
        <v>0</v>
      </c>
      <c r="BJ194" s="15" t="s">
        <v>143</v>
      </c>
      <c r="BK194" s="138">
        <f t="shared" si="39"/>
        <v>64570</v>
      </c>
      <c r="BL194" s="15" t="s">
        <v>206</v>
      </c>
      <c r="BM194" s="137" t="s">
        <v>1303</v>
      </c>
    </row>
    <row r="195" spans="2:65" s="12" customFormat="1">
      <c r="B195" s="148"/>
      <c r="D195" s="149" t="s">
        <v>363</v>
      </c>
      <c r="E195" s="154" t="s">
        <v>1</v>
      </c>
      <c r="F195" s="150" t="s">
        <v>1302</v>
      </c>
      <c r="H195" s="151">
        <v>800</v>
      </c>
      <c r="L195" s="148"/>
      <c r="M195" s="152"/>
      <c r="T195" s="153"/>
      <c r="AT195" s="154" t="s">
        <v>363</v>
      </c>
      <c r="AU195" s="154" t="s">
        <v>143</v>
      </c>
      <c r="AV195" s="12" t="s">
        <v>143</v>
      </c>
      <c r="AW195" s="12" t="s">
        <v>29</v>
      </c>
      <c r="AX195" s="12" t="s">
        <v>73</v>
      </c>
      <c r="AY195" s="154" t="s">
        <v>141</v>
      </c>
    </row>
    <row r="196" spans="2:65" s="12" customFormat="1">
      <c r="B196" s="148"/>
      <c r="D196" s="149" t="s">
        <v>363</v>
      </c>
      <c r="E196" s="154" t="s">
        <v>1</v>
      </c>
      <c r="F196" s="150" t="s">
        <v>1301</v>
      </c>
      <c r="H196" s="151">
        <v>300</v>
      </c>
      <c r="L196" s="148"/>
      <c r="M196" s="152"/>
      <c r="T196" s="153"/>
      <c r="AT196" s="154" t="s">
        <v>363</v>
      </c>
      <c r="AU196" s="154" t="s">
        <v>143</v>
      </c>
      <c r="AV196" s="12" t="s">
        <v>143</v>
      </c>
      <c r="AW196" s="12" t="s">
        <v>29</v>
      </c>
      <c r="AX196" s="12" t="s">
        <v>73</v>
      </c>
      <c r="AY196" s="154" t="s">
        <v>141</v>
      </c>
    </row>
    <row r="197" spans="2:65" s="13" customFormat="1">
      <c r="B197" s="159"/>
      <c r="D197" s="149" t="s">
        <v>363</v>
      </c>
      <c r="E197" s="160" t="s">
        <v>1</v>
      </c>
      <c r="F197" s="161" t="s">
        <v>1223</v>
      </c>
      <c r="H197" s="162">
        <v>1100</v>
      </c>
      <c r="L197" s="159"/>
      <c r="M197" s="163"/>
      <c r="T197" s="164"/>
      <c r="AT197" s="160" t="s">
        <v>363</v>
      </c>
      <c r="AU197" s="160" t="s">
        <v>143</v>
      </c>
      <c r="AV197" s="13" t="s">
        <v>149</v>
      </c>
      <c r="AW197" s="13" t="s">
        <v>29</v>
      </c>
      <c r="AX197" s="13" t="s">
        <v>81</v>
      </c>
      <c r="AY197" s="160" t="s">
        <v>141</v>
      </c>
    </row>
    <row r="198" spans="2:65" s="1" customFormat="1" ht="37.9" customHeight="1">
      <c r="B198" s="126"/>
      <c r="C198" s="127" t="s">
        <v>405</v>
      </c>
      <c r="D198" s="127" t="s">
        <v>144</v>
      </c>
      <c r="E198" s="128" t="s">
        <v>1300</v>
      </c>
      <c r="F198" s="129" t="s">
        <v>1299</v>
      </c>
      <c r="G198" s="130" t="s">
        <v>193</v>
      </c>
      <c r="H198" s="131">
        <v>8500</v>
      </c>
      <c r="I198" s="132">
        <v>58.1</v>
      </c>
      <c r="J198" s="132">
        <f>ROUND(I198*H198,2)</f>
        <v>493850</v>
      </c>
      <c r="K198" s="129" t="s">
        <v>148</v>
      </c>
      <c r="L198" s="27"/>
      <c r="M198" s="133" t="s">
        <v>1</v>
      </c>
      <c r="N198" s="134" t="s">
        <v>39</v>
      </c>
      <c r="O198" s="135">
        <v>2.5999999999999999E-2</v>
      </c>
      <c r="P198" s="135">
        <f>O198*H198</f>
        <v>221</v>
      </c>
      <c r="Q198" s="135">
        <v>1.1E-4</v>
      </c>
      <c r="R198" s="135">
        <f>Q198*H198</f>
        <v>0.93500000000000005</v>
      </c>
      <c r="S198" s="135">
        <v>0</v>
      </c>
      <c r="T198" s="136">
        <f>S198*H198</f>
        <v>0</v>
      </c>
      <c r="AR198" s="137" t="s">
        <v>206</v>
      </c>
      <c r="AT198" s="137" t="s">
        <v>144</v>
      </c>
      <c r="AU198" s="137" t="s">
        <v>143</v>
      </c>
      <c r="AY198" s="15" t="s">
        <v>141</v>
      </c>
      <c r="BE198" s="138">
        <f>IF(N198="základní",J198,0)</f>
        <v>0</v>
      </c>
      <c r="BF198" s="138">
        <f>IF(N198="snížená",J198,0)</f>
        <v>493850</v>
      </c>
      <c r="BG198" s="138">
        <f>IF(N198="zákl. přenesená",J198,0)</f>
        <v>0</v>
      </c>
      <c r="BH198" s="138">
        <f>IF(N198="sníž. přenesená",J198,0)</f>
        <v>0</v>
      </c>
      <c r="BI198" s="138">
        <f>IF(N198="nulová",J198,0)</f>
        <v>0</v>
      </c>
      <c r="BJ198" s="15" t="s">
        <v>143</v>
      </c>
      <c r="BK198" s="138">
        <f>ROUND(I198*H198,2)</f>
        <v>493850</v>
      </c>
      <c r="BL198" s="15" t="s">
        <v>206</v>
      </c>
      <c r="BM198" s="137" t="s">
        <v>1298</v>
      </c>
    </row>
    <row r="199" spans="2:65" s="12" customFormat="1">
      <c r="B199" s="148"/>
      <c r="D199" s="149" t="s">
        <v>363</v>
      </c>
      <c r="E199" s="154" t="s">
        <v>1</v>
      </c>
      <c r="F199" s="150" t="s">
        <v>1524</v>
      </c>
      <c r="H199" s="151">
        <v>5500</v>
      </c>
      <c r="L199" s="148"/>
      <c r="M199" s="152"/>
      <c r="T199" s="153"/>
      <c r="AT199" s="154" t="s">
        <v>363</v>
      </c>
      <c r="AU199" s="154" t="s">
        <v>143</v>
      </c>
      <c r="AV199" s="12" t="s">
        <v>143</v>
      </c>
      <c r="AW199" s="12" t="s">
        <v>29</v>
      </c>
      <c r="AX199" s="12" t="s">
        <v>73</v>
      </c>
      <c r="AY199" s="154" t="s">
        <v>141</v>
      </c>
    </row>
    <row r="200" spans="2:65" s="12" customFormat="1">
      <c r="B200" s="148"/>
      <c r="D200" s="149" t="s">
        <v>363</v>
      </c>
      <c r="E200" s="154" t="s">
        <v>1</v>
      </c>
      <c r="F200" s="150" t="s">
        <v>1296</v>
      </c>
      <c r="H200" s="151">
        <v>3000</v>
      </c>
      <c r="L200" s="148"/>
      <c r="M200" s="152"/>
      <c r="T200" s="153"/>
      <c r="AT200" s="154" t="s">
        <v>363</v>
      </c>
      <c r="AU200" s="154" t="s">
        <v>143</v>
      </c>
      <c r="AV200" s="12" t="s">
        <v>143</v>
      </c>
      <c r="AW200" s="12" t="s">
        <v>29</v>
      </c>
      <c r="AX200" s="12" t="s">
        <v>73</v>
      </c>
      <c r="AY200" s="154" t="s">
        <v>141</v>
      </c>
    </row>
    <row r="201" spans="2:65" s="13" customFormat="1">
      <c r="B201" s="159"/>
      <c r="D201" s="149" t="s">
        <v>363</v>
      </c>
      <c r="E201" s="160" t="s">
        <v>1</v>
      </c>
      <c r="F201" s="161" t="s">
        <v>1223</v>
      </c>
      <c r="H201" s="162">
        <v>8500</v>
      </c>
      <c r="L201" s="159"/>
      <c r="M201" s="163"/>
      <c r="T201" s="164"/>
      <c r="AT201" s="160" t="s">
        <v>363</v>
      </c>
      <c r="AU201" s="160" t="s">
        <v>143</v>
      </c>
      <c r="AV201" s="13" t="s">
        <v>149</v>
      </c>
      <c r="AW201" s="13" t="s">
        <v>29</v>
      </c>
      <c r="AX201" s="13" t="s">
        <v>81</v>
      </c>
      <c r="AY201" s="160" t="s">
        <v>141</v>
      </c>
    </row>
    <row r="202" spans="2:65" s="1" customFormat="1" ht="37.9" customHeight="1">
      <c r="B202" s="126"/>
      <c r="C202" s="127" t="s">
        <v>409</v>
      </c>
      <c r="D202" s="127" t="s">
        <v>144</v>
      </c>
      <c r="E202" s="128" t="s">
        <v>1295</v>
      </c>
      <c r="F202" s="129" t="s">
        <v>1294</v>
      </c>
      <c r="G202" s="130" t="s">
        <v>193</v>
      </c>
      <c r="H202" s="131">
        <v>170</v>
      </c>
      <c r="I202" s="132">
        <v>56.7</v>
      </c>
      <c r="J202" s="132">
        <f>ROUND(I202*H202,2)</f>
        <v>9639</v>
      </c>
      <c r="K202" s="129" t="s">
        <v>148</v>
      </c>
      <c r="L202" s="27"/>
      <c r="M202" s="133" t="s">
        <v>1</v>
      </c>
      <c r="N202" s="134" t="s">
        <v>39</v>
      </c>
      <c r="O202" s="135">
        <v>2.3E-2</v>
      </c>
      <c r="P202" s="135">
        <f>O202*H202</f>
        <v>3.91</v>
      </c>
      <c r="Q202" s="135">
        <v>1.1E-4</v>
      </c>
      <c r="R202" s="135">
        <f>Q202*H202</f>
        <v>1.8700000000000001E-2</v>
      </c>
      <c r="S202" s="135">
        <v>0</v>
      </c>
      <c r="T202" s="136">
        <f>S202*H202</f>
        <v>0</v>
      </c>
      <c r="AR202" s="137" t="s">
        <v>206</v>
      </c>
      <c r="AT202" s="137" t="s">
        <v>144</v>
      </c>
      <c r="AU202" s="137" t="s">
        <v>143</v>
      </c>
      <c r="AY202" s="15" t="s">
        <v>141</v>
      </c>
      <c r="BE202" s="138">
        <f>IF(N202="základní",J202,0)</f>
        <v>0</v>
      </c>
      <c r="BF202" s="138">
        <f>IF(N202="snížená",J202,0)</f>
        <v>9639</v>
      </c>
      <c r="BG202" s="138">
        <f>IF(N202="zákl. přenesená",J202,0)</f>
        <v>0</v>
      </c>
      <c r="BH202" s="138">
        <f>IF(N202="sníž. přenesená",J202,0)</f>
        <v>0</v>
      </c>
      <c r="BI202" s="138">
        <f>IF(N202="nulová",J202,0)</f>
        <v>0</v>
      </c>
      <c r="BJ202" s="15" t="s">
        <v>143</v>
      </c>
      <c r="BK202" s="138">
        <f>ROUND(I202*H202,2)</f>
        <v>9639</v>
      </c>
      <c r="BL202" s="15" t="s">
        <v>206</v>
      </c>
      <c r="BM202" s="137" t="s">
        <v>1293</v>
      </c>
    </row>
    <row r="203" spans="2:65" s="12" customFormat="1">
      <c r="B203" s="148"/>
      <c r="D203" s="149" t="s">
        <v>363</v>
      </c>
      <c r="E203" s="154" t="s">
        <v>1</v>
      </c>
      <c r="F203" s="150" t="s">
        <v>1292</v>
      </c>
      <c r="H203" s="151">
        <v>170</v>
      </c>
      <c r="L203" s="148"/>
      <c r="M203" s="152"/>
      <c r="T203" s="153"/>
      <c r="AT203" s="154" t="s">
        <v>363</v>
      </c>
      <c r="AU203" s="154" t="s">
        <v>143</v>
      </c>
      <c r="AV203" s="12" t="s">
        <v>143</v>
      </c>
      <c r="AW203" s="12" t="s">
        <v>29</v>
      </c>
      <c r="AX203" s="12" t="s">
        <v>81</v>
      </c>
      <c r="AY203" s="154" t="s">
        <v>141</v>
      </c>
    </row>
    <row r="204" spans="2:65" s="1" customFormat="1" ht="37.9" customHeight="1">
      <c r="B204" s="126"/>
      <c r="C204" s="127" t="s">
        <v>413</v>
      </c>
      <c r="D204" s="127" t="s">
        <v>144</v>
      </c>
      <c r="E204" s="128" t="s">
        <v>1291</v>
      </c>
      <c r="F204" s="129" t="s">
        <v>1290</v>
      </c>
      <c r="G204" s="130" t="s">
        <v>157</v>
      </c>
      <c r="H204" s="131">
        <v>1300</v>
      </c>
      <c r="I204" s="132">
        <v>421</v>
      </c>
      <c r="J204" s="132">
        <f t="shared" ref="J204:J215" si="40">ROUND(I204*H204,2)</f>
        <v>547300</v>
      </c>
      <c r="K204" s="129" t="s">
        <v>148</v>
      </c>
      <c r="L204" s="27"/>
      <c r="M204" s="133" t="s">
        <v>1</v>
      </c>
      <c r="N204" s="134" t="s">
        <v>39</v>
      </c>
      <c r="O204" s="135">
        <v>0.11</v>
      </c>
      <c r="P204" s="135">
        <f t="shared" ref="P204:P215" si="41">O204*H204</f>
        <v>143</v>
      </c>
      <c r="Q204" s="135">
        <v>1.2099999999999999E-3</v>
      </c>
      <c r="R204" s="135">
        <f t="shared" ref="R204:R215" si="42">Q204*H204</f>
        <v>1.573</v>
      </c>
      <c r="S204" s="135">
        <v>0</v>
      </c>
      <c r="T204" s="136">
        <f t="shared" ref="T204:T215" si="43">S204*H204</f>
        <v>0</v>
      </c>
      <c r="AR204" s="137" t="s">
        <v>206</v>
      </c>
      <c r="AT204" s="137" t="s">
        <v>144</v>
      </c>
      <c r="AU204" s="137" t="s">
        <v>143</v>
      </c>
      <c r="AY204" s="15" t="s">
        <v>141</v>
      </c>
      <c r="BE204" s="138">
        <f t="shared" ref="BE204:BE215" si="44">IF(N204="základní",J204,0)</f>
        <v>0</v>
      </c>
      <c r="BF204" s="138">
        <f t="shared" ref="BF204:BF215" si="45">IF(N204="snížená",J204,0)</f>
        <v>547300</v>
      </c>
      <c r="BG204" s="138">
        <f t="shared" ref="BG204:BG215" si="46">IF(N204="zákl. přenesená",J204,0)</f>
        <v>0</v>
      </c>
      <c r="BH204" s="138">
        <f t="shared" ref="BH204:BH215" si="47">IF(N204="sníž. přenesená",J204,0)</f>
        <v>0</v>
      </c>
      <c r="BI204" s="138">
        <f t="shared" ref="BI204:BI215" si="48">IF(N204="nulová",J204,0)</f>
        <v>0</v>
      </c>
      <c r="BJ204" s="15" t="s">
        <v>143</v>
      </c>
      <c r="BK204" s="138">
        <f t="shared" ref="BK204:BK215" si="49">ROUND(I204*H204,2)</f>
        <v>547300</v>
      </c>
      <c r="BL204" s="15" t="s">
        <v>206</v>
      </c>
      <c r="BM204" s="137" t="s">
        <v>1289</v>
      </c>
    </row>
    <row r="205" spans="2:65" s="1" customFormat="1" ht="24.2" customHeight="1">
      <c r="B205" s="126"/>
      <c r="C205" s="127" t="s">
        <v>417</v>
      </c>
      <c r="D205" s="127" t="s">
        <v>144</v>
      </c>
      <c r="E205" s="128" t="s">
        <v>1288</v>
      </c>
      <c r="F205" s="129" t="s">
        <v>1287</v>
      </c>
      <c r="G205" s="130" t="s">
        <v>193</v>
      </c>
      <c r="H205" s="131">
        <v>1300</v>
      </c>
      <c r="I205" s="132">
        <v>41.8</v>
      </c>
      <c r="J205" s="132">
        <f t="shared" si="40"/>
        <v>54340</v>
      </c>
      <c r="K205" s="129" t="s">
        <v>148</v>
      </c>
      <c r="L205" s="27"/>
      <c r="M205" s="133" t="s">
        <v>1</v>
      </c>
      <c r="N205" s="134" t="s">
        <v>39</v>
      </c>
      <c r="O205" s="135">
        <v>3.2000000000000001E-2</v>
      </c>
      <c r="P205" s="135">
        <f t="shared" si="41"/>
        <v>41.6</v>
      </c>
      <c r="Q205" s="135">
        <v>6.0000000000000002E-5</v>
      </c>
      <c r="R205" s="135">
        <f t="shared" si="42"/>
        <v>7.8E-2</v>
      </c>
      <c r="S205" s="135">
        <v>0</v>
      </c>
      <c r="T205" s="136">
        <f t="shared" si="43"/>
        <v>0</v>
      </c>
      <c r="AR205" s="137" t="s">
        <v>206</v>
      </c>
      <c r="AT205" s="137" t="s">
        <v>144</v>
      </c>
      <c r="AU205" s="137" t="s">
        <v>143</v>
      </c>
      <c r="AY205" s="15" t="s">
        <v>141</v>
      </c>
      <c r="BE205" s="138">
        <f t="shared" si="44"/>
        <v>0</v>
      </c>
      <c r="BF205" s="138">
        <f t="shared" si="45"/>
        <v>54340</v>
      </c>
      <c r="BG205" s="138">
        <f t="shared" si="46"/>
        <v>0</v>
      </c>
      <c r="BH205" s="138">
        <f t="shared" si="47"/>
        <v>0</v>
      </c>
      <c r="BI205" s="138">
        <f t="shared" si="48"/>
        <v>0</v>
      </c>
      <c r="BJ205" s="15" t="s">
        <v>143</v>
      </c>
      <c r="BK205" s="138">
        <f t="shared" si="49"/>
        <v>54340</v>
      </c>
      <c r="BL205" s="15" t="s">
        <v>206</v>
      </c>
      <c r="BM205" s="137" t="s">
        <v>1286</v>
      </c>
    </row>
    <row r="206" spans="2:65" s="1" customFormat="1" ht="24.2" customHeight="1">
      <c r="B206" s="126"/>
      <c r="C206" s="127" t="s">
        <v>421</v>
      </c>
      <c r="D206" s="127" t="s">
        <v>144</v>
      </c>
      <c r="E206" s="128" t="s">
        <v>1285</v>
      </c>
      <c r="F206" s="129" t="s">
        <v>1284</v>
      </c>
      <c r="G206" s="130" t="s">
        <v>193</v>
      </c>
      <c r="H206" s="131">
        <v>500</v>
      </c>
      <c r="I206" s="132">
        <v>42</v>
      </c>
      <c r="J206" s="132">
        <f t="shared" si="40"/>
        <v>21000</v>
      </c>
      <c r="K206" s="129" t="s">
        <v>148</v>
      </c>
      <c r="L206" s="27"/>
      <c r="M206" s="133" t="s">
        <v>1</v>
      </c>
      <c r="N206" s="134" t="s">
        <v>39</v>
      </c>
      <c r="O206" s="135">
        <v>3.2000000000000001E-2</v>
      </c>
      <c r="P206" s="135">
        <f t="shared" si="41"/>
        <v>16</v>
      </c>
      <c r="Q206" s="135">
        <v>1E-4</v>
      </c>
      <c r="R206" s="135">
        <f t="shared" si="42"/>
        <v>0.05</v>
      </c>
      <c r="S206" s="135">
        <v>0</v>
      </c>
      <c r="T206" s="136">
        <f t="shared" si="43"/>
        <v>0</v>
      </c>
      <c r="AR206" s="137" t="s">
        <v>206</v>
      </c>
      <c r="AT206" s="137" t="s">
        <v>144</v>
      </c>
      <c r="AU206" s="137" t="s">
        <v>143</v>
      </c>
      <c r="AY206" s="15" t="s">
        <v>141</v>
      </c>
      <c r="BE206" s="138">
        <f t="shared" si="44"/>
        <v>0</v>
      </c>
      <c r="BF206" s="138">
        <f t="shared" si="45"/>
        <v>21000</v>
      </c>
      <c r="BG206" s="138">
        <f t="shared" si="46"/>
        <v>0</v>
      </c>
      <c r="BH206" s="138">
        <f t="shared" si="47"/>
        <v>0</v>
      </c>
      <c r="BI206" s="138">
        <f t="shared" si="48"/>
        <v>0</v>
      </c>
      <c r="BJ206" s="15" t="s">
        <v>143</v>
      </c>
      <c r="BK206" s="138">
        <f t="shared" si="49"/>
        <v>21000</v>
      </c>
      <c r="BL206" s="15" t="s">
        <v>206</v>
      </c>
      <c r="BM206" s="137" t="s">
        <v>1283</v>
      </c>
    </row>
    <row r="207" spans="2:65" s="1" customFormat="1" ht="24.2" customHeight="1">
      <c r="B207" s="126"/>
      <c r="C207" s="127" t="s">
        <v>426</v>
      </c>
      <c r="D207" s="127" t="s">
        <v>144</v>
      </c>
      <c r="E207" s="128" t="s">
        <v>1282</v>
      </c>
      <c r="F207" s="129" t="s">
        <v>1281</v>
      </c>
      <c r="G207" s="130" t="s">
        <v>193</v>
      </c>
      <c r="H207" s="131">
        <v>130</v>
      </c>
      <c r="I207" s="132">
        <v>207</v>
      </c>
      <c r="J207" s="132">
        <f t="shared" si="40"/>
        <v>26910</v>
      </c>
      <c r="K207" s="129" t="s">
        <v>148</v>
      </c>
      <c r="L207" s="27"/>
      <c r="M207" s="133" t="s">
        <v>1</v>
      </c>
      <c r="N207" s="134" t="s">
        <v>39</v>
      </c>
      <c r="O207" s="135">
        <v>0.08</v>
      </c>
      <c r="P207" s="135">
        <f t="shared" si="41"/>
        <v>10.4</v>
      </c>
      <c r="Q207" s="135">
        <v>6.0000000000000002E-5</v>
      </c>
      <c r="R207" s="135">
        <f t="shared" si="42"/>
        <v>7.8000000000000005E-3</v>
      </c>
      <c r="S207" s="135">
        <v>0</v>
      </c>
      <c r="T207" s="136">
        <f t="shared" si="43"/>
        <v>0</v>
      </c>
      <c r="AR207" s="137" t="s">
        <v>206</v>
      </c>
      <c r="AT207" s="137" t="s">
        <v>144</v>
      </c>
      <c r="AU207" s="137" t="s">
        <v>143</v>
      </c>
      <c r="AY207" s="15" t="s">
        <v>141</v>
      </c>
      <c r="BE207" s="138">
        <f t="shared" si="44"/>
        <v>0</v>
      </c>
      <c r="BF207" s="138">
        <f t="shared" si="45"/>
        <v>26910</v>
      </c>
      <c r="BG207" s="138">
        <f t="shared" si="46"/>
        <v>0</v>
      </c>
      <c r="BH207" s="138">
        <f t="shared" si="47"/>
        <v>0</v>
      </c>
      <c r="BI207" s="138">
        <f t="shared" si="48"/>
        <v>0</v>
      </c>
      <c r="BJ207" s="15" t="s">
        <v>143</v>
      </c>
      <c r="BK207" s="138">
        <f t="shared" si="49"/>
        <v>26910</v>
      </c>
      <c r="BL207" s="15" t="s">
        <v>206</v>
      </c>
      <c r="BM207" s="137" t="s">
        <v>1523</v>
      </c>
    </row>
    <row r="208" spans="2:65" s="1" customFormat="1" ht="24.2" customHeight="1">
      <c r="B208" s="126"/>
      <c r="C208" s="127" t="s">
        <v>431</v>
      </c>
      <c r="D208" s="127" t="s">
        <v>144</v>
      </c>
      <c r="E208" s="128" t="s">
        <v>1522</v>
      </c>
      <c r="F208" s="129" t="s">
        <v>1521</v>
      </c>
      <c r="G208" s="130" t="s">
        <v>147</v>
      </c>
      <c r="H208" s="131">
        <v>1</v>
      </c>
      <c r="I208" s="132">
        <v>6100</v>
      </c>
      <c r="J208" s="132">
        <f t="shared" si="40"/>
        <v>6100</v>
      </c>
      <c r="K208" s="129" t="s">
        <v>148</v>
      </c>
      <c r="L208" s="27"/>
      <c r="M208" s="133" t="s">
        <v>1</v>
      </c>
      <c r="N208" s="134" t="s">
        <v>39</v>
      </c>
      <c r="O208" s="135">
        <v>0.52400000000000002</v>
      </c>
      <c r="P208" s="135">
        <f t="shared" si="41"/>
        <v>0.52400000000000002</v>
      </c>
      <c r="Q208" s="135">
        <v>4.1999999999999997E-3</v>
      </c>
      <c r="R208" s="135">
        <f t="shared" si="42"/>
        <v>4.1999999999999997E-3</v>
      </c>
      <c r="S208" s="135">
        <v>0</v>
      </c>
      <c r="T208" s="136">
        <f t="shared" si="43"/>
        <v>0</v>
      </c>
      <c r="AR208" s="137" t="s">
        <v>206</v>
      </c>
      <c r="AT208" s="137" t="s">
        <v>144</v>
      </c>
      <c r="AU208" s="137" t="s">
        <v>143</v>
      </c>
      <c r="AY208" s="15" t="s">
        <v>141</v>
      </c>
      <c r="BE208" s="138">
        <f t="shared" si="44"/>
        <v>0</v>
      </c>
      <c r="BF208" s="138">
        <f t="shared" si="45"/>
        <v>6100</v>
      </c>
      <c r="BG208" s="138">
        <f t="shared" si="46"/>
        <v>0</v>
      </c>
      <c r="BH208" s="138">
        <f t="shared" si="47"/>
        <v>0</v>
      </c>
      <c r="BI208" s="138">
        <f t="shared" si="48"/>
        <v>0</v>
      </c>
      <c r="BJ208" s="15" t="s">
        <v>143</v>
      </c>
      <c r="BK208" s="138">
        <f t="shared" si="49"/>
        <v>6100</v>
      </c>
      <c r="BL208" s="15" t="s">
        <v>206</v>
      </c>
      <c r="BM208" s="137" t="s">
        <v>1520</v>
      </c>
    </row>
    <row r="209" spans="2:65" s="1" customFormat="1" ht="33" customHeight="1">
      <c r="B209" s="126"/>
      <c r="C209" s="127" t="s">
        <v>435</v>
      </c>
      <c r="D209" s="127" t="s">
        <v>144</v>
      </c>
      <c r="E209" s="128" t="s">
        <v>1275</v>
      </c>
      <c r="F209" s="129" t="s">
        <v>1274</v>
      </c>
      <c r="G209" s="130" t="s">
        <v>147</v>
      </c>
      <c r="H209" s="131">
        <v>1</v>
      </c>
      <c r="I209" s="132">
        <v>6520</v>
      </c>
      <c r="J209" s="132">
        <f t="shared" si="40"/>
        <v>6520</v>
      </c>
      <c r="K209" s="129" t="s">
        <v>148</v>
      </c>
      <c r="L209" s="27"/>
      <c r="M209" s="133" t="s">
        <v>1</v>
      </c>
      <c r="N209" s="134" t="s">
        <v>39</v>
      </c>
      <c r="O209" s="135">
        <v>0.53300000000000003</v>
      </c>
      <c r="P209" s="135">
        <f t="shared" si="41"/>
        <v>0.53300000000000003</v>
      </c>
      <c r="Q209" s="135">
        <v>4.7999999999999996E-3</v>
      </c>
      <c r="R209" s="135">
        <f t="shared" si="42"/>
        <v>4.7999999999999996E-3</v>
      </c>
      <c r="S209" s="135">
        <v>0</v>
      </c>
      <c r="T209" s="136">
        <f t="shared" si="43"/>
        <v>0</v>
      </c>
      <c r="AR209" s="137" t="s">
        <v>206</v>
      </c>
      <c r="AT209" s="137" t="s">
        <v>144</v>
      </c>
      <c r="AU209" s="137" t="s">
        <v>143</v>
      </c>
      <c r="AY209" s="15" t="s">
        <v>141</v>
      </c>
      <c r="BE209" s="138">
        <f t="shared" si="44"/>
        <v>0</v>
      </c>
      <c r="BF209" s="138">
        <f t="shared" si="45"/>
        <v>6520</v>
      </c>
      <c r="BG209" s="138">
        <f t="shared" si="46"/>
        <v>0</v>
      </c>
      <c r="BH209" s="138">
        <f t="shared" si="47"/>
        <v>0</v>
      </c>
      <c r="BI209" s="138">
        <f t="shared" si="48"/>
        <v>0</v>
      </c>
      <c r="BJ209" s="15" t="s">
        <v>143</v>
      </c>
      <c r="BK209" s="138">
        <f t="shared" si="49"/>
        <v>6520</v>
      </c>
      <c r="BL209" s="15" t="s">
        <v>206</v>
      </c>
      <c r="BM209" s="137" t="s">
        <v>1273</v>
      </c>
    </row>
    <row r="210" spans="2:65" s="1" customFormat="1" ht="33" customHeight="1">
      <c r="B210" s="126"/>
      <c r="C210" s="127" t="s">
        <v>439</v>
      </c>
      <c r="D210" s="127" t="s">
        <v>144</v>
      </c>
      <c r="E210" s="128" t="s">
        <v>1269</v>
      </c>
      <c r="F210" s="129" t="s">
        <v>1268</v>
      </c>
      <c r="G210" s="130" t="s">
        <v>147</v>
      </c>
      <c r="H210" s="131">
        <v>1</v>
      </c>
      <c r="I210" s="132">
        <v>8570</v>
      </c>
      <c r="J210" s="132">
        <f t="shared" si="40"/>
        <v>8570</v>
      </c>
      <c r="K210" s="129" t="s">
        <v>148</v>
      </c>
      <c r="L210" s="27"/>
      <c r="M210" s="133" t="s">
        <v>1</v>
      </c>
      <c r="N210" s="134" t="s">
        <v>39</v>
      </c>
      <c r="O210" s="135">
        <v>0.55100000000000005</v>
      </c>
      <c r="P210" s="135">
        <f t="shared" si="41"/>
        <v>0.55100000000000005</v>
      </c>
      <c r="Q210" s="135">
        <v>5.4799999999999996E-3</v>
      </c>
      <c r="R210" s="135">
        <f t="shared" si="42"/>
        <v>5.4799999999999996E-3</v>
      </c>
      <c r="S210" s="135">
        <v>0</v>
      </c>
      <c r="T210" s="136">
        <f t="shared" si="43"/>
        <v>0</v>
      </c>
      <c r="AR210" s="137" t="s">
        <v>206</v>
      </c>
      <c r="AT210" s="137" t="s">
        <v>144</v>
      </c>
      <c r="AU210" s="137" t="s">
        <v>143</v>
      </c>
      <c r="AY210" s="15" t="s">
        <v>141</v>
      </c>
      <c r="BE210" s="138">
        <f t="shared" si="44"/>
        <v>0</v>
      </c>
      <c r="BF210" s="138">
        <f t="shared" si="45"/>
        <v>8570</v>
      </c>
      <c r="BG210" s="138">
        <f t="shared" si="46"/>
        <v>0</v>
      </c>
      <c r="BH210" s="138">
        <f t="shared" si="47"/>
        <v>0</v>
      </c>
      <c r="BI210" s="138">
        <f t="shared" si="48"/>
        <v>0</v>
      </c>
      <c r="BJ210" s="15" t="s">
        <v>143</v>
      </c>
      <c r="BK210" s="138">
        <f t="shared" si="49"/>
        <v>8570</v>
      </c>
      <c r="BL210" s="15" t="s">
        <v>206</v>
      </c>
      <c r="BM210" s="137" t="s">
        <v>1267</v>
      </c>
    </row>
    <row r="211" spans="2:65" s="1" customFormat="1" ht="33" customHeight="1">
      <c r="B211" s="126"/>
      <c r="C211" s="127" t="s">
        <v>443</v>
      </c>
      <c r="D211" s="127" t="s">
        <v>144</v>
      </c>
      <c r="E211" s="128" t="s">
        <v>1266</v>
      </c>
      <c r="F211" s="129" t="s">
        <v>1265</v>
      </c>
      <c r="G211" s="130" t="s">
        <v>147</v>
      </c>
      <c r="H211" s="131">
        <v>5</v>
      </c>
      <c r="I211" s="132">
        <v>9670</v>
      </c>
      <c r="J211" s="132">
        <f t="shared" si="40"/>
        <v>48350</v>
      </c>
      <c r="K211" s="129" t="s">
        <v>148</v>
      </c>
      <c r="L211" s="27"/>
      <c r="M211" s="133" t="s">
        <v>1</v>
      </c>
      <c r="N211" s="134" t="s">
        <v>39</v>
      </c>
      <c r="O211" s="135">
        <v>0.56100000000000005</v>
      </c>
      <c r="P211" s="135">
        <f t="shared" si="41"/>
        <v>2.8050000000000002</v>
      </c>
      <c r="Q211" s="135">
        <v>6.1000000000000004E-3</v>
      </c>
      <c r="R211" s="135">
        <f t="shared" si="42"/>
        <v>3.0500000000000003E-2</v>
      </c>
      <c r="S211" s="135">
        <v>0</v>
      </c>
      <c r="T211" s="136">
        <f t="shared" si="43"/>
        <v>0</v>
      </c>
      <c r="AR211" s="137" t="s">
        <v>206</v>
      </c>
      <c r="AT211" s="137" t="s">
        <v>144</v>
      </c>
      <c r="AU211" s="137" t="s">
        <v>143</v>
      </c>
      <c r="AY211" s="15" t="s">
        <v>141</v>
      </c>
      <c r="BE211" s="138">
        <f t="shared" si="44"/>
        <v>0</v>
      </c>
      <c r="BF211" s="138">
        <f t="shared" si="45"/>
        <v>48350</v>
      </c>
      <c r="BG211" s="138">
        <f t="shared" si="46"/>
        <v>0</v>
      </c>
      <c r="BH211" s="138">
        <f t="shared" si="47"/>
        <v>0</v>
      </c>
      <c r="BI211" s="138">
        <f t="shared" si="48"/>
        <v>0</v>
      </c>
      <c r="BJ211" s="15" t="s">
        <v>143</v>
      </c>
      <c r="BK211" s="138">
        <f t="shared" si="49"/>
        <v>48350</v>
      </c>
      <c r="BL211" s="15" t="s">
        <v>206</v>
      </c>
      <c r="BM211" s="137" t="s">
        <v>1264</v>
      </c>
    </row>
    <row r="212" spans="2:65" s="1" customFormat="1" ht="37.9" customHeight="1">
      <c r="B212" s="126"/>
      <c r="C212" s="127" t="s">
        <v>447</v>
      </c>
      <c r="D212" s="127" t="s">
        <v>144</v>
      </c>
      <c r="E212" s="128" t="s">
        <v>1519</v>
      </c>
      <c r="F212" s="129" t="s">
        <v>1518</v>
      </c>
      <c r="G212" s="130" t="s">
        <v>147</v>
      </c>
      <c r="H212" s="131">
        <v>1</v>
      </c>
      <c r="I212" s="132">
        <v>3330</v>
      </c>
      <c r="J212" s="132">
        <f t="shared" si="40"/>
        <v>3330</v>
      </c>
      <c r="K212" s="129" t="s">
        <v>148</v>
      </c>
      <c r="L212" s="27"/>
      <c r="M212" s="133" t="s">
        <v>1</v>
      </c>
      <c r="N212" s="134" t="s">
        <v>39</v>
      </c>
      <c r="O212" s="135">
        <v>0.58399999999999996</v>
      </c>
      <c r="P212" s="135">
        <f t="shared" si="41"/>
        <v>0.58399999999999996</v>
      </c>
      <c r="Q212" s="135">
        <v>1.0699999999999999E-2</v>
      </c>
      <c r="R212" s="135">
        <f t="shared" si="42"/>
        <v>1.0699999999999999E-2</v>
      </c>
      <c r="S212" s="135">
        <v>0</v>
      </c>
      <c r="T212" s="136">
        <f t="shared" si="43"/>
        <v>0</v>
      </c>
      <c r="AR212" s="137" t="s">
        <v>206</v>
      </c>
      <c r="AT212" s="137" t="s">
        <v>144</v>
      </c>
      <c r="AU212" s="137" t="s">
        <v>143</v>
      </c>
      <c r="AY212" s="15" t="s">
        <v>141</v>
      </c>
      <c r="BE212" s="138">
        <f t="shared" si="44"/>
        <v>0</v>
      </c>
      <c r="BF212" s="138">
        <f t="shared" si="45"/>
        <v>3330</v>
      </c>
      <c r="BG212" s="138">
        <f t="shared" si="46"/>
        <v>0</v>
      </c>
      <c r="BH212" s="138">
        <f t="shared" si="47"/>
        <v>0</v>
      </c>
      <c r="BI212" s="138">
        <f t="shared" si="48"/>
        <v>0</v>
      </c>
      <c r="BJ212" s="15" t="s">
        <v>143</v>
      </c>
      <c r="BK212" s="138">
        <f t="shared" si="49"/>
        <v>3330</v>
      </c>
      <c r="BL212" s="15" t="s">
        <v>206</v>
      </c>
      <c r="BM212" s="137" t="s">
        <v>1517</v>
      </c>
    </row>
    <row r="213" spans="2:65" s="1" customFormat="1" ht="37.9" customHeight="1">
      <c r="B213" s="126"/>
      <c r="C213" s="127" t="s">
        <v>452</v>
      </c>
      <c r="D213" s="127" t="s">
        <v>144</v>
      </c>
      <c r="E213" s="128" t="s">
        <v>1263</v>
      </c>
      <c r="F213" s="129" t="s">
        <v>1262</v>
      </c>
      <c r="G213" s="130" t="s">
        <v>147</v>
      </c>
      <c r="H213" s="131">
        <v>8</v>
      </c>
      <c r="I213" s="132">
        <v>3730</v>
      </c>
      <c r="J213" s="132">
        <f t="shared" si="40"/>
        <v>29840</v>
      </c>
      <c r="K213" s="129" t="s">
        <v>148</v>
      </c>
      <c r="L213" s="27"/>
      <c r="M213" s="133" t="s">
        <v>1</v>
      </c>
      <c r="N213" s="134" t="s">
        <v>39</v>
      </c>
      <c r="O213" s="135">
        <v>0.59399999999999997</v>
      </c>
      <c r="P213" s="135">
        <f t="shared" si="41"/>
        <v>4.7519999999999998</v>
      </c>
      <c r="Q213" s="135">
        <v>1.32E-2</v>
      </c>
      <c r="R213" s="135">
        <f t="shared" si="42"/>
        <v>0.1056</v>
      </c>
      <c r="S213" s="135">
        <v>0</v>
      </c>
      <c r="T213" s="136">
        <f t="shared" si="43"/>
        <v>0</v>
      </c>
      <c r="AR213" s="137" t="s">
        <v>206</v>
      </c>
      <c r="AT213" s="137" t="s">
        <v>144</v>
      </c>
      <c r="AU213" s="137" t="s">
        <v>143</v>
      </c>
      <c r="AY213" s="15" t="s">
        <v>141</v>
      </c>
      <c r="BE213" s="138">
        <f t="shared" si="44"/>
        <v>0</v>
      </c>
      <c r="BF213" s="138">
        <f t="shared" si="45"/>
        <v>29840</v>
      </c>
      <c r="BG213" s="138">
        <f t="shared" si="46"/>
        <v>0</v>
      </c>
      <c r="BH213" s="138">
        <f t="shared" si="47"/>
        <v>0</v>
      </c>
      <c r="BI213" s="138">
        <f t="shared" si="48"/>
        <v>0</v>
      </c>
      <c r="BJ213" s="15" t="s">
        <v>143</v>
      </c>
      <c r="BK213" s="138">
        <f t="shared" si="49"/>
        <v>29840</v>
      </c>
      <c r="BL213" s="15" t="s">
        <v>206</v>
      </c>
      <c r="BM213" s="137" t="s">
        <v>1261</v>
      </c>
    </row>
    <row r="214" spans="2:65" s="1" customFormat="1" ht="33" customHeight="1">
      <c r="B214" s="126"/>
      <c r="C214" s="127" t="s">
        <v>457</v>
      </c>
      <c r="D214" s="127" t="s">
        <v>144</v>
      </c>
      <c r="E214" s="128" t="s">
        <v>1260</v>
      </c>
      <c r="F214" s="129" t="s">
        <v>1259</v>
      </c>
      <c r="G214" s="130" t="s">
        <v>147</v>
      </c>
      <c r="H214" s="131">
        <v>128</v>
      </c>
      <c r="I214" s="132">
        <v>130</v>
      </c>
      <c r="J214" s="132">
        <f t="shared" si="40"/>
        <v>16640</v>
      </c>
      <c r="K214" s="129" t="s">
        <v>148</v>
      </c>
      <c r="L214" s="27"/>
      <c r="M214" s="133" t="s">
        <v>1</v>
      </c>
      <c r="N214" s="134" t="s">
        <v>39</v>
      </c>
      <c r="O214" s="135">
        <v>6.5000000000000002E-2</v>
      </c>
      <c r="P214" s="135">
        <f t="shared" si="41"/>
        <v>8.32</v>
      </c>
      <c r="Q214" s="135">
        <v>6.9999999999999994E-5</v>
      </c>
      <c r="R214" s="135">
        <f t="shared" si="42"/>
        <v>8.9599999999999992E-3</v>
      </c>
      <c r="S214" s="135">
        <v>0</v>
      </c>
      <c r="T214" s="136">
        <f t="shared" si="43"/>
        <v>0</v>
      </c>
      <c r="AR214" s="137" t="s">
        <v>206</v>
      </c>
      <c r="AT214" s="137" t="s">
        <v>144</v>
      </c>
      <c r="AU214" s="137" t="s">
        <v>143</v>
      </c>
      <c r="AY214" s="15" t="s">
        <v>141</v>
      </c>
      <c r="BE214" s="138">
        <f t="shared" si="44"/>
        <v>0</v>
      </c>
      <c r="BF214" s="138">
        <f t="shared" si="45"/>
        <v>16640</v>
      </c>
      <c r="BG214" s="138">
        <f t="shared" si="46"/>
        <v>0</v>
      </c>
      <c r="BH214" s="138">
        <f t="shared" si="47"/>
        <v>0</v>
      </c>
      <c r="BI214" s="138">
        <f t="shared" si="48"/>
        <v>0</v>
      </c>
      <c r="BJ214" s="15" t="s">
        <v>143</v>
      </c>
      <c r="BK214" s="138">
        <f t="shared" si="49"/>
        <v>16640</v>
      </c>
      <c r="BL214" s="15" t="s">
        <v>206</v>
      </c>
      <c r="BM214" s="137" t="s">
        <v>1258</v>
      </c>
    </row>
    <row r="215" spans="2:65" s="1" customFormat="1" ht="44.25" customHeight="1">
      <c r="B215" s="126"/>
      <c r="C215" s="127" t="s">
        <v>461</v>
      </c>
      <c r="D215" s="127" t="s">
        <v>144</v>
      </c>
      <c r="E215" s="128" t="s">
        <v>1254</v>
      </c>
      <c r="F215" s="129" t="s">
        <v>1253</v>
      </c>
      <c r="G215" s="130" t="s">
        <v>179</v>
      </c>
      <c r="H215" s="131">
        <v>3.286</v>
      </c>
      <c r="I215" s="132">
        <v>1240</v>
      </c>
      <c r="J215" s="132">
        <f t="shared" si="40"/>
        <v>4074.64</v>
      </c>
      <c r="K215" s="129" t="s">
        <v>148</v>
      </c>
      <c r="L215" s="27"/>
      <c r="M215" s="133" t="s">
        <v>1</v>
      </c>
      <c r="N215" s="134" t="s">
        <v>39</v>
      </c>
      <c r="O215" s="135">
        <v>2.96</v>
      </c>
      <c r="P215" s="135">
        <f t="shared" si="41"/>
        <v>9.7265599999999992</v>
      </c>
      <c r="Q215" s="135">
        <v>0</v>
      </c>
      <c r="R215" s="135">
        <f t="shared" si="42"/>
        <v>0</v>
      </c>
      <c r="S215" s="135">
        <v>0</v>
      </c>
      <c r="T215" s="136">
        <f t="shared" si="43"/>
        <v>0</v>
      </c>
      <c r="AR215" s="137" t="s">
        <v>206</v>
      </c>
      <c r="AT215" s="137" t="s">
        <v>144</v>
      </c>
      <c r="AU215" s="137" t="s">
        <v>143</v>
      </c>
      <c r="AY215" s="15" t="s">
        <v>141</v>
      </c>
      <c r="BE215" s="138">
        <f t="shared" si="44"/>
        <v>0</v>
      </c>
      <c r="BF215" s="138">
        <f t="shared" si="45"/>
        <v>4074.64</v>
      </c>
      <c r="BG215" s="138">
        <f t="shared" si="46"/>
        <v>0</v>
      </c>
      <c r="BH215" s="138">
        <f t="shared" si="47"/>
        <v>0</v>
      </c>
      <c r="BI215" s="138">
        <f t="shared" si="48"/>
        <v>0</v>
      </c>
      <c r="BJ215" s="15" t="s">
        <v>143</v>
      </c>
      <c r="BK215" s="138">
        <f t="shared" si="49"/>
        <v>4074.64</v>
      </c>
      <c r="BL215" s="15" t="s">
        <v>206</v>
      </c>
      <c r="BM215" s="137" t="s">
        <v>1252</v>
      </c>
    </row>
    <row r="216" spans="2:65" s="11" customFormat="1" ht="25.9" customHeight="1">
      <c r="B216" s="115"/>
      <c r="D216" s="116" t="s">
        <v>72</v>
      </c>
      <c r="E216" s="117" t="s">
        <v>1251</v>
      </c>
      <c r="F216" s="117" t="s">
        <v>1250</v>
      </c>
      <c r="J216" s="118">
        <f>BK216</f>
        <v>26700</v>
      </c>
      <c r="L216" s="115"/>
      <c r="M216" s="119"/>
      <c r="P216" s="120">
        <f>P217</f>
        <v>50</v>
      </c>
      <c r="R216" s="120">
        <f>R217</f>
        <v>0</v>
      </c>
      <c r="T216" s="121">
        <f>T217</f>
        <v>0</v>
      </c>
      <c r="AR216" s="116" t="s">
        <v>149</v>
      </c>
      <c r="AT216" s="122" t="s">
        <v>72</v>
      </c>
      <c r="AU216" s="122" t="s">
        <v>73</v>
      </c>
      <c r="AY216" s="116" t="s">
        <v>141</v>
      </c>
      <c r="BK216" s="123">
        <f>BK217</f>
        <v>26700</v>
      </c>
    </row>
    <row r="217" spans="2:65" s="1" customFormat="1" ht="24.2" customHeight="1">
      <c r="B217" s="126"/>
      <c r="C217" s="127" t="s">
        <v>465</v>
      </c>
      <c r="D217" s="127" t="s">
        <v>144</v>
      </c>
      <c r="E217" s="128" t="s">
        <v>1249</v>
      </c>
      <c r="F217" s="129" t="s">
        <v>1248</v>
      </c>
      <c r="G217" s="130" t="s">
        <v>1247</v>
      </c>
      <c r="H217" s="131">
        <v>50</v>
      </c>
      <c r="I217" s="132">
        <v>534</v>
      </c>
      <c r="J217" s="132">
        <f>ROUND(I217*H217,2)</f>
        <v>26700</v>
      </c>
      <c r="K217" s="129" t="s">
        <v>148</v>
      </c>
      <c r="L217" s="27"/>
      <c r="M217" s="155" t="s">
        <v>1</v>
      </c>
      <c r="N217" s="156" t="s">
        <v>39</v>
      </c>
      <c r="O217" s="157">
        <v>1</v>
      </c>
      <c r="P217" s="157">
        <f>O217*H217</f>
        <v>50</v>
      </c>
      <c r="Q217" s="157">
        <v>0</v>
      </c>
      <c r="R217" s="157">
        <f>Q217*H217</f>
        <v>0</v>
      </c>
      <c r="S217" s="157">
        <v>0</v>
      </c>
      <c r="T217" s="158">
        <f>S217*H217</f>
        <v>0</v>
      </c>
      <c r="AR217" s="137" t="s">
        <v>1246</v>
      </c>
      <c r="AT217" s="137" t="s">
        <v>144</v>
      </c>
      <c r="AU217" s="137" t="s">
        <v>81</v>
      </c>
      <c r="AY217" s="15" t="s">
        <v>141</v>
      </c>
      <c r="BE217" s="138">
        <f>IF(N217="základní",J217,0)</f>
        <v>0</v>
      </c>
      <c r="BF217" s="138">
        <f>IF(N217="snížená",J217,0)</f>
        <v>26700</v>
      </c>
      <c r="BG217" s="138">
        <f>IF(N217="zákl. přenesená",J217,0)</f>
        <v>0</v>
      </c>
      <c r="BH217" s="138">
        <f>IF(N217="sníž. přenesená",J217,0)</f>
        <v>0</v>
      </c>
      <c r="BI217" s="138">
        <f>IF(N217="nulová",J217,0)</f>
        <v>0</v>
      </c>
      <c r="BJ217" s="15" t="s">
        <v>143</v>
      </c>
      <c r="BK217" s="138">
        <f>ROUND(I217*H217,2)</f>
        <v>26700</v>
      </c>
      <c r="BL217" s="15" t="s">
        <v>1246</v>
      </c>
      <c r="BM217" s="137" t="s">
        <v>1245</v>
      </c>
    </row>
    <row r="218" spans="2:65" s="1" customFormat="1" ht="6.95" customHeight="1">
      <c r="B218" s="39"/>
      <c r="C218" s="40"/>
      <c r="D218" s="40"/>
      <c r="E218" s="40"/>
      <c r="F218" s="40"/>
      <c r="G218" s="40"/>
      <c r="H218" s="40"/>
      <c r="I218" s="40"/>
      <c r="J218" s="40"/>
      <c r="K218" s="40"/>
      <c r="L218" s="27"/>
    </row>
  </sheetData>
  <autoFilter ref="C122:K217" xr:uid="{00000000-0009-0000-0000-000001000000}"/>
  <mergeCells count="9">
    <mergeCell ref="E87:H87"/>
    <mergeCell ref="E113:H113"/>
    <mergeCell ref="E115:H115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3D4BCA-A151-44DD-A99A-9E6BF00C7F27}">
  <sheetPr>
    <pageSetUpPr fitToPage="1"/>
  </sheetPr>
  <dimension ref="B2:BM181"/>
  <sheetViews>
    <sheetView showGridLines="0" topLeftCell="A8" workbookViewId="0"/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</cols>
  <sheetData>
    <row r="2" spans="2:46" ht="36.950000000000003" customHeight="1">
      <c r="L2" s="269" t="s">
        <v>5</v>
      </c>
      <c r="M2" s="250"/>
      <c r="N2" s="250"/>
      <c r="O2" s="250"/>
      <c r="P2" s="250"/>
      <c r="Q2" s="250"/>
      <c r="R2" s="250"/>
      <c r="S2" s="250"/>
      <c r="T2" s="250"/>
      <c r="U2" s="250"/>
      <c r="V2" s="250"/>
      <c r="AT2" s="15" t="s">
        <v>1737</v>
      </c>
    </row>
    <row r="3" spans="2:46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81</v>
      </c>
    </row>
    <row r="4" spans="2:46" ht="24.95" customHeight="1">
      <c r="B4" s="18"/>
      <c r="D4" s="19" t="s">
        <v>89</v>
      </c>
      <c r="L4" s="18"/>
      <c r="M4" s="83" t="s">
        <v>10</v>
      </c>
      <c r="AT4" s="15" t="s">
        <v>3</v>
      </c>
    </row>
    <row r="5" spans="2:46" ht="6.95" customHeight="1">
      <c r="B5" s="18"/>
      <c r="L5" s="18"/>
    </row>
    <row r="6" spans="2:46" ht="12" customHeight="1">
      <c r="B6" s="18"/>
      <c r="D6" s="24" t="s">
        <v>14</v>
      </c>
      <c r="L6" s="18"/>
    </row>
    <row r="7" spans="2:46" ht="26.25" customHeight="1">
      <c r="B7" s="18"/>
      <c r="E7" s="283" t="s">
        <v>2465</v>
      </c>
      <c r="F7" s="284"/>
      <c r="G7" s="284"/>
      <c r="H7" s="284"/>
      <c r="L7" s="18"/>
    </row>
    <row r="8" spans="2:46" s="1" customFormat="1" ht="12" customHeight="1">
      <c r="B8" s="27"/>
      <c r="D8" s="24" t="s">
        <v>90</v>
      </c>
      <c r="L8" s="27"/>
    </row>
    <row r="9" spans="2:46" s="1" customFormat="1" ht="16.5" customHeight="1">
      <c r="B9" s="27"/>
      <c r="E9" s="270" t="s">
        <v>1736</v>
      </c>
      <c r="F9" s="285"/>
      <c r="G9" s="285"/>
      <c r="H9" s="285"/>
      <c r="L9" s="27"/>
    </row>
    <row r="10" spans="2:46" s="1" customFormat="1">
      <c r="B10" s="27"/>
      <c r="L10" s="27"/>
    </row>
    <row r="11" spans="2:46" s="1" customFormat="1" ht="12" customHeight="1">
      <c r="B11" s="27"/>
      <c r="D11" s="24" t="s">
        <v>16</v>
      </c>
      <c r="F11" s="22" t="s">
        <v>1</v>
      </c>
      <c r="I11" s="24" t="s">
        <v>17</v>
      </c>
      <c r="J11" s="22" t="s">
        <v>1</v>
      </c>
      <c r="L11" s="27"/>
    </row>
    <row r="12" spans="2:46" s="1" customFormat="1" ht="12" customHeight="1">
      <c r="B12" s="27"/>
      <c r="D12" s="24" t="s">
        <v>18</v>
      </c>
      <c r="F12" s="22" t="s">
        <v>1514</v>
      </c>
      <c r="I12" s="24" t="s">
        <v>20</v>
      </c>
      <c r="J12" s="47" t="s">
        <v>2466</v>
      </c>
      <c r="L12" s="27"/>
    </row>
    <row r="13" spans="2:46" s="1" customFormat="1" ht="10.9" customHeight="1">
      <c r="B13" s="27"/>
      <c r="L13" s="27"/>
    </row>
    <row r="14" spans="2:46" s="1" customFormat="1" ht="12" customHeight="1">
      <c r="B14" s="27"/>
      <c r="D14" s="24" t="s">
        <v>21</v>
      </c>
      <c r="I14" s="24" t="s">
        <v>22</v>
      </c>
      <c r="J14" s="22" t="s">
        <v>1</v>
      </c>
      <c r="L14" s="27"/>
    </row>
    <row r="15" spans="2:46" s="1" customFormat="1" ht="18" customHeight="1">
      <c r="B15" s="27"/>
      <c r="E15" s="22" t="s">
        <v>2467</v>
      </c>
      <c r="I15" s="24" t="s">
        <v>24</v>
      </c>
      <c r="J15" s="22" t="s">
        <v>1</v>
      </c>
      <c r="L15" s="27"/>
    </row>
    <row r="16" spans="2:46" s="1" customFormat="1" ht="6.95" customHeight="1">
      <c r="B16" s="27"/>
      <c r="L16" s="27"/>
    </row>
    <row r="17" spans="2:12" s="1" customFormat="1" ht="12" customHeight="1">
      <c r="B17" s="27"/>
      <c r="D17" s="24" t="s">
        <v>25</v>
      </c>
      <c r="I17" s="24" t="s">
        <v>22</v>
      </c>
      <c r="J17" s="22" t="s">
        <v>1</v>
      </c>
      <c r="L17" s="27"/>
    </row>
    <row r="18" spans="2:12" s="1" customFormat="1" ht="18" customHeight="1">
      <c r="B18" s="27"/>
      <c r="E18" s="249" t="s">
        <v>2467</v>
      </c>
      <c r="F18" s="249"/>
      <c r="G18" s="249"/>
      <c r="H18" s="249"/>
      <c r="I18" s="24" t="s">
        <v>24</v>
      </c>
      <c r="J18" s="22" t="s">
        <v>1</v>
      </c>
      <c r="L18" s="27"/>
    </row>
    <row r="19" spans="2:12" s="1" customFormat="1" ht="6.95" customHeight="1">
      <c r="B19" s="27"/>
      <c r="L19" s="27"/>
    </row>
    <row r="20" spans="2:12" s="1" customFormat="1" ht="12" customHeight="1">
      <c r="B20" s="27"/>
      <c r="D20" s="24" t="s">
        <v>27</v>
      </c>
      <c r="I20" s="24" t="s">
        <v>22</v>
      </c>
      <c r="J20" s="22" t="s">
        <v>1</v>
      </c>
      <c r="L20" s="27"/>
    </row>
    <row r="21" spans="2:12" s="1" customFormat="1" ht="18" customHeight="1">
      <c r="B21" s="27"/>
      <c r="E21" s="22" t="s">
        <v>2467</v>
      </c>
      <c r="I21" s="24" t="s">
        <v>24</v>
      </c>
      <c r="J21" s="22" t="s">
        <v>1</v>
      </c>
      <c r="L21" s="27"/>
    </row>
    <row r="22" spans="2:12" s="1" customFormat="1" ht="6.95" customHeight="1">
      <c r="B22" s="27"/>
      <c r="L22" s="27"/>
    </row>
    <row r="23" spans="2:12" s="1" customFormat="1" ht="12" customHeight="1">
      <c r="B23" s="27"/>
      <c r="D23" s="24" t="s">
        <v>30</v>
      </c>
      <c r="I23" s="24" t="s">
        <v>22</v>
      </c>
      <c r="J23" s="22" t="s">
        <v>1</v>
      </c>
      <c r="L23" s="27"/>
    </row>
    <row r="24" spans="2:12" s="1" customFormat="1" ht="18" customHeight="1">
      <c r="B24" s="27"/>
      <c r="E24" s="22" t="s">
        <v>2467</v>
      </c>
      <c r="I24" s="24" t="s">
        <v>24</v>
      </c>
      <c r="J24" s="22" t="s">
        <v>1</v>
      </c>
      <c r="L24" s="27"/>
    </row>
    <row r="25" spans="2:12" s="1" customFormat="1" ht="6.95" customHeight="1">
      <c r="B25" s="27"/>
      <c r="L25" s="27"/>
    </row>
    <row r="26" spans="2:12" s="1" customFormat="1" ht="12" customHeight="1">
      <c r="B26" s="27"/>
      <c r="D26" s="24" t="s">
        <v>32</v>
      </c>
      <c r="L26" s="27"/>
    </row>
    <row r="27" spans="2:12" s="7" customFormat="1" ht="16.5" customHeight="1">
      <c r="B27" s="84"/>
      <c r="E27" s="252" t="s">
        <v>1</v>
      </c>
      <c r="F27" s="252"/>
      <c r="G27" s="252"/>
      <c r="H27" s="252"/>
      <c r="L27" s="84"/>
    </row>
    <row r="28" spans="2:12" s="1" customFormat="1" ht="6.95" customHeight="1">
      <c r="B28" s="27"/>
      <c r="L28" s="27"/>
    </row>
    <row r="29" spans="2:12" s="1" customFormat="1" ht="6.95" customHeight="1">
      <c r="B29" s="27"/>
      <c r="D29" s="48"/>
      <c r="E29" s="48"/>
      <c r="F29" s="48"/>
      <c r="G29" s="48"/>
      <c r="H29" s="48"/>
      <c r="I29" s="48"/>
      <c r="J29" s="48"/>
      <c r="K29" s="48"/>
      <c r="L29" s="27"/>
    </row>
    <row r="30" spans="2:12" s="1" customFormat="1" ht="25.35" customHeight="1">
      <c r="B30" s="27"/>
      <c r="D30" s="85" t="s">
        <v>33</v>
      </c>
      <c r="J30" s="61">
        <f>ROUND(J119, 2)</f>
        <v>1974787.63</v>
      </c>
      <c r="L30" s="27"/>
    </row>
    <row r="31" spans="2:12" s="1" customFormat="1" ht="6.95" customHeight="1">
      <c r="B31" s="27"/>
      <c r="D31" s="48"/>
      <c r="E31" s="48"/>
      <c r="F31" s="48"/>
      <c r="G31" s="48"/>
      <c r="H31" s="48"/>
      <c r="I31" s="48"/>
      <c r="J31" s="48"/>
      <c r="K31" s="48"/>
      <c r="L31" s="27"/>
    </row>
    <row r="32" spans="2:12" s="1" customFormat="1" ht="14.45" customHeight="1">
      <c r="B32" s="27"/>
      <c r="F32" s="30" t="s">
        <v>35</v>
      </c>
      <c r="I32" s="30" t="s">
        <v>34</v>
      </c>
      <c r="J32" s="30" t="s">
        <v>36</v>
      </c>
      <c r="L32" s="27"/>
    </row>
    <row r="33" spans="2:12" s="1" customFormat="1" ht="14.45" customHeight="1">
      <c r="B33" s="27"/>
      <c r="D33" s="50" t="s">
        <v>37</v>
      </c>
      <c r="E33" s="24" t="s">
        <v>38</v>
      </c>
      <c r="F33" s="86">
        <f>ROUND((SUM(BE119:BE180)),  2)</f>
        <v>0</v>
      </c>
      <c r="I33" s="87">
        <v>0.21</v>
      </c>
      <c r="J33" s="86">
        <f>ROUND(((SUM(BE119:BE180))*I33),  2)</f>
        <v>0</v>
      </c>
      <c r="L33" s="27"/>
    </row>
    <row r="34" spans="2:12" s="1" customFormat="1" ht="14.45" customHeight="1">
      <c r="B34" s="27"/>
      <c r="E34" s="24" t="s">
        <v>39</v>
      </c>
      <c r="F34" s="86">
        <f>ROUND((SUM(BF119:BF180)),  2)</f>
        <v>1974787.63</v>
      </c>
      <c r="I34" s="87">
        <v>0.15</v>
      </c>
      <c r="J34" s="86">
        <f>ROUND(((SUM(BF119:BF180))*I34),  2)</f>
        <v>296218.14</v>
      </c>
      <c r="L34" s="27"/>
    </row>
    <row r="35" spans="2:12" s="1" customFormat="1" ht="14.45" hidden="1" customHeight="1">
      <c r="B35" s="27"/>
      <c r="E35" s="24" t="s">
        <v>40</v>
      </c>
      <c r="F35" s="86">
        <f>ROUND((SUM(BG119:BG180)),  2)</f>
        <v>0</v>
      </c>
      <c r="I35" s="87">
        <v>0.21</v>
      </c>
      <c r="J35" s="86">
        <f>0</f>
        <v>0</v>
      </c>
      <c r="L35" s="27"/>
    </row>
    <row r="36" spans="2:12" s="1" customFormat="1" ht="14.45" hidden="1" customHeight="1">
      <c r="B36" s="27"/>
      <c r="E36" s="24" t="s">
        <v>41</v>
      </c>
      <c r="F36" s="86">
        <f>ROUND((SUM(BH119:BH180)),  2)</f>
        <v>0</v>
      </c>
      <c r="I36" s="87">
        <v>0.15</v>
      </c>
      <c r="J36" s="86">
        <f>0</f>
        <v>0</v>
      </c>
      <c r="L36" s="27"/>
    </row>
    <row r="37" spans="2:12" s="1" customFormat="1" ht="14.45" hidden="1" customHeight="1">
      <c r="B37" s="27"/>
      <c r="E37" s="24" t="s">
        <v>42</v>
      </c>
      <c r="F37" s="86">
        <f>ROUND((SUM(BI119:BI180)),  2)</f>
        <v>0</v>
      </c>
      <c r="I37" s="87">
        <v>0</v>
      </c>
      <c r="J37" s="86">
        <f>0</f>
        <v>0</v>
      </c>
      <c r="L37" s="27"/>
    </row>
    <row r="38" spans="2:12" s="1" customFormat="1" ht="6.95" customHeight="1">
      <c r="B38" s="27"/>
      <c r="L38" s="27"/>
    </row>
    <row r="39" spans="2:12" s="1" customFormat="1" ht="25.35" customHeight="1">
      <c r="B39" s="27"/>
      <c r="C39" s="88"/>
      <c r="D39" s="89" t="s">
        <v>43</v>
      </c>
      <c r="E39" s="52"/>
      <c r="F39" s="52"/>
      <c r="G39" s="90" t="s">
        <v>44</v>
      </c>
      <c r="H39" s="91" t="s">
        <v>45</v>
      </c>
      <c r="I39" s="52"/>
      <c r="J39" s="92">
        <f>SUM(J30:J37)</f>
        <v>2271005.77</v>
      </c>
      <c r="K39" s="93"/>
      <c r="L39" s="27"/>
    </row>
    <row r="40" spans="2:12" s="1" customFormat="1" ht="14.45" customHeight="1">
      <c r="B40" s="27"/>
      <c r="L40" s="27"/>
    </row>
    <row r="41" spans="2:12" ht="14.45" customHeight="1">
      <c r="B41" s="18"/>
      <c r="L41" s="18"/>
    </row>
    <row r="42" spans="2:12" ht="14.45" customHeight="1">
      <c r="B42" s="18"/>
      <c r="L42" s="18"/>
    </row>
    <row r="43" spans="2:12" ht="14.45" customHeight="1">
      <c r="B43" s="18"/>
      <c r="L43" s="18"/>
    </row>
    <row r="44" spans="2:12" ht="14.45" customHeight="1">
      <c r="B44" s="18"/>
      <c r="L44" s="18"/>
    </row>
    <row r="45" spans="2:12" ht="14.45" customHeight="1">
      <c r="B45" s="18"/>
      <c r="L45" s="18"/>
    </row>
    <row r="46" spans="2:12" ht="14.45" customHeight="1">
      <c r="B46" s="18"/>
      <c r="L46" s="18"/>
    </row>
    <row r="47" spans="2:12" ht="14.45" customHeight="1">
      <c r="B47" s="18"/>
      <c r="L47" s="18"/>
    </row>
    <row r="48" spans="2:12" ht="14.45" customHeight="1">
      <c r="B48" s="18"/>
      <c r="L48" s="18"/>
    </row>
    <row r="49" spans="2:12" ht="14.45" customHeight="1">
      <c r="B49" s="18"/>
      <c r="L49" s="18"/>
    </row>
    <row r="50" spans="2:12" s="1" customFormat="1" ht="14.45" customHeight="1">
      <c r="B50" s="27"/>
      <c r="D50" s="36" t="s">
        <v>46</v>
      </c>
      <c r="E50" s="37"/>
      <c r="F50" s="37"/>
      <c r="G50" s="36" t="s">
        <v>47</v>
      </c>
      <c r="H50" s="37"/>
      <c r="I50" s="37"/>
      <c r="J50" s="37"/>
      <c r="K50" s="37"/>
      <c r="L50" s="27"/>
    </row>
    <row r="51" spans="2:12">
      <c r="B51" s="18"/>
      <c r="L51" s="18"/>
    </row>
    <row r="52" spans="2:12">
      <c r="B52" s="18"/>
      <c r="L52" s="18"/>
    </row>
    <row r="53" spans="2:12">
      <c r="B53" s="18"/>
      <c r="L53" s="18"/>
    </row>
    <row r="54" spans="2:12">
      <c r="B54" s="18"/>
      <c r="L54" s="18"/>
    </row>
    <row r="55" spans="2:12">
      <c r="B55" s="18"/>
      <c r="L55" s="18"/>
    </row>
    <row r="56" spans="2:12">
      <c r="B56" s="18"/>
      <c r="L56" s="18"/>
    </row>
    <row r="57" spans="2:12">
      <c r="B57" s="18"/>
      <c r="L57" s="18"/>
    </row>
    <row r="58" spans="2:12">
      <c r="B58" s="18"/>
      <c r="L58" s="18"/>
    </row>
    <row r="59" spans="2:12">
      <c r="B59" s="18"/>
      <c r="L59" s="18"/>
    </row>
    <row r="60" spans="2:12">
      <c r="B60" s="18"/>
      <c r="L60" s="18"/>
    </row>
    <row r="61" spans="2:12" s="1" customFormat="1" ht="12.75">
      <c r="B61" s="27"/>
      <c r="D61" s="38" t="s">
        <v>48</v>
      </c>
      <c r="E61" s="29"/>
      <c r="F61" s="94" t="s">
        <v>49</v>
      </c>
      <c r="G61" s="38" t="s">
        <v>48</v>
      </c>
      <c r="H61" s="29"/>
      <c r="I61" s="29"/>
      <c r="J61" s="95" t="s">
        <v>49</v>
      </c>
      <c r="K61" s="29"/>
      <c r="L61" s="27"/>
    </row>
    <row r="62" spans="2:12">
      <c r="B62" s="18"/>
      <c r="L62" s="18"/>
    </row>
    <row r="63" spans="2:12">
      <c r="B63" s="18"/>
      <c r="L63" s="18"/>
    </row>
    <row r="64" spans="2:12">
      <c r="B64" s="18"/>
      <c r="L64" s="18"/>
    </row>
    <row r="65" spans="2:12" s="1" customFormat="1" ht="12.75">
      <c r="B65" s="27"/>
      <c r="D65" s="36" t="s">
        <v>50</v>
      </c>
      <c r="E65" s="37"/>
      <c r="F65" s="37"/>
      <c r="G65" s="36" t="s">
        <v>51</v>
      </c>
      <c r="H65" s="37"/>
      <c r="I65" s="37"/>
      <c r="J65" s="37"/>
      <c r="K65" s="37"/>
      <c r="L65" s="27"/>
    </row>
    <row r="66" spans="2:12">
      <c r="B66" s="18"/>
      <c r="L66" s="18"/>
    </row>
    <row r="67" spans="2:12">
      <c r="B67" s="18"/>
      <c r="L67" s="18"/>
    </row>
    <row r="68" spans="2:12">
      <c r="B68" s="18"/>
      <c r="L68" s="18"/>
    </row>
    <row r="69" spans="2:12">
      <c r="B69" s="18"/>
      <c r="L69" s="18"/>
    </row>
    <row r="70" spans="2:12">
      <c r="B70" s="18"/>
      <c r="L70" s="18"/>
    </row>
    <row r="71" spans="2:12">
      <c r="B71" s="18"/>
      <c r="L71" s="18"/>
    </row>
    <row r="72" spans="2:12">
      <c r="B72" s="18"/>
      <c r="L72" s="18"/>
    </row>
    <row r="73" spans="2:12">
      <c r="B73" s="18"/>
      <c r="L73" s="18"/>
    </row>
    <row r="74" spans="2:12">
      <c r="B74" s="18"/>
      <c r="L74" s="18"/>
    </row>
    <row r="75" spans="2:12">
      <c r="B75" s="18"/>
      <c r="L75" s="18"/>
    </row>
    <row r="76" spans="2:12" s="1" customFormat="1" ht="12.75">
      <c r="B76" s="27"/>
      <c r="D76" s="38" t="s">
        <v>48</v>
      </c>
      <c r="E76" s="29"/>
      <c r="F76" s="94" t="s">
        <v>49</v>
      </c>
      <c r="G76" s="38" t="s">
        <v>48</v>
      </c>
      <c r="H76" s="29"/>
      <c r="I76" s="29"/>
      <c r="J76" s="95" t="s">
        <v>49</v>
      </c>
      <c r="K76" s="29"/>
      <c r="L76" s="27"/>
    </row>
    <row r="77" spans="2:12" s="1" customFormat="1" ht="14.45" customHeight="1"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27"/>
    </row>
    <row r="81" spans="2:47" s="1" customFormat="1" ht="6.95" customHeight="1"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27"/>
    </row>
    <row r="82" spans="2:47" s="1" customFormat="1" ht="24.95" customHeight="1">
      <c r="B82" s="27"/>
      <c r="C82" s="19" t="s">
        <v>92</v>
      </c>
      <c r="L82" s="27"/>
    </row>
    <row r="83" spans="2:47" s="1" customFormat="1" ht="6.95" customHeight="1">
      <c r="B83" s="27"/>
      <c r="L83" s="27"/>
    </row>
    <row r="84" spans="2:47" s="1" customFormat="1" ht="12" customHeight="1">
      <c r="B84" s="27"/>
      <c r="C84" s="24" t="s">
        <v>14</v>
      </c>
      <c r="L84" s="27"/>
    </row>
    <row r="85" spans="2:47" s="1" customFormat="1" ht="26.25" customHeight="1">
      <c r="B85" s="27"/>
      <c r="E85" s="283" t="str">
        <f>E7</f>
        <v>Rozvoj komunitních sociálních služeb DOZP v lokalitě Jičín - aktualizace PD - změna PD 11/2022</v>
      </c>
      <c r="F85" s="284"/>
      <c r="G85" s="284"/>
      <c r="H85" s="284"/>
      <c r="L85" s="27"/>
    </row>
    <row r="86" spans="2:47" s="1" customFormat="1" ht="12" customHeight="1">
      <c r="B86" s="27"/>
      <c r="C86" s="24" t="s">
        <v>90</v>
      </c>
      <c r="L86" s="27"/>
    </row>
    <row r="87" spans="2:47" s="1" customFormat="1" ht="16.5" customHeight="1">
      <c r="B87" s="27"/>
      <c r="E87" s="270" t="str">
        <f>E9</f>
        <v>Objekt B - c - Vzduchotechnika</v>
      </c>
      <c r="F87" s="285"/>
      <c r="G87" s="285"/>
      <c r="H87" s="285"/>
      <c r="L87" s="27"/>
    </row>
    <row r="88" spans="2:47" s="1" customFormat="1" ht="6.95" customHeight="1">
      <c r="B88" s="27"/>
      <c r="L88" s="27"/>
    </row>
    <row r="89" spans="2:47" s="1" customFormat="1" ht="12" customHeight="1">
      <c r="B89" s="27"/>
      <c r="C89" s="24" t="s">
        <v>18</v>
      </c>
      <c r="F89" s="22" t="str">
        <f>F12</f>
        <v>Jičín</v>
      </c>
      <c r="I89" s="24" t="s">
        <v>20</v>
      </c>
      <c r="J89" s="47" t="str">
        <f>IF(J12="","",J12)</f>
        <v>15. 3. 2022</v>
      </c>
      <c r="L89" s="27"/>
    </row>
    <row r="90" spans="2:47" s="1" customFormat="1" ht="6.95" customHeight="1">
      <c r="B90" s="27"/>
      <c r="L90" s="27"/>
    </row>
    <row r="91" spans="2:47" s="1" customFormat="1" ht="15.2" customHeight="1">
      <c r="B91" s="27"/>
      <c r="C91" s="24" t="s">
        <v>21</v>
      </c>
      <c r="F91" s="22" t="str">
        <f>E15</f>
        <v xml:space="preserve"> </v>
      </c>
      <c r="I91" s="24" t="s">
        <v>27</v>
      </c>
      <c r="J91" s="25" t="str">
        <f>E21</f>
        <v xml:space="preserve"> </v>
      </c>
      <c r="L91" s="27"/>
    </row>
    <row r="92" spans="2:47" s="1" customFormat="1" ht="15.2" customHeight="1">
      <c r="B92" s="27"/>
      <c r="C92" s="24" t="s">
        <v>25</v>
      </c>
      <c r="F92" s="22" t="str">
        <f>IF(E18="","",E18)</f>
        <v xml:space="preserve"> </v>
      </c>
      <c r="I92" s="24" t="s">
        <v>30</v>
      </c>
      <c r="J92" s="25" t="str">
        <f>E24</f>
        <v xml:space="preserve"> </v>
      </c>
      <c r="L92" s="27"/>
    </row>
    <row r="93" spans="2:47" s="1" customFormat="1" ht="10.35" customHeight="1">
      <c r="B93" s="27"/>
      <c r="L93" s="27"/>
    </row>
    <row r="94" spans="2:47" s="1" customFormat="1" ht="29.25" customHeight="1">
      <c r="B94" s="27"/>
      <c r="C94" s="96" t="s">
        <v>93</v>
      </c>
      <c r="D94" s="88"/>
      <c r="E94" s="88"/>
      <c r="F94" s="88"/>
      <c r="G94" s="88"/>
      <c r="H94" s="88"/>
      <c r="I94" s="88"/>
      <c r="J94" s="97" t="s">
        <v>94</v>
      </c>
      <c r="K94" s="88"/>
      <c r="L94" s="27"/>
    </row>
    <row r="95" spans="2:47" s="1" customFormat="1" ht="10.35" customHeight="1">
      <c r="B95" s="27"/>
      <c r="L95" s="27"/>
    </row>
    <row r="96" spans="2:47" s="1" customFormat="1" ht="22.9" customHeight="1">
      <c r="B96" s="27"/>
      <c r="C96" s="98" t="s">
        <v>95</v>
      </c>
      <c r="J96" s="61">
        <f>J119</f>
        <v>1974787.63</v>
      </c>
      <c r="L96" s="27"/>
      <c r="AU96" s="15" t="s">
        <v>96</v>
      </c>
    </row>
    <row r="97" spans="2:12" s="8" customFormat="1" ht="24.95" customHeight="1">
      <c r="B97" s="99"/>
      <c r="D97" s="100" t="s">
        <v>105</v>
      </c>
      <c r="E97" s="101"/>
      <c r="F97" s="101"/>
      <c r="G97" s="101"/>
      <c r="H97" s="101"/>
      <c r="I97" s="101"/>
      <c r="J97" s="102">
        <f>J120</f>
        <v>1929887.63</v>
      </c>
      <c r="L97" s="99"/>
    </row>
    <row r="98" spans="2:12" s="9" customFormat="1" ht="19.899999999999999" customHeight="1">
      <c r="B98" s="103"/>
      <c r="D98" s="104" t="s">
        <v>112</v>
      </c>
      <c r="E98" s="105"/>
      <c r="F98" s="105"/>
      <c r="G98" s="105"/>
      <c r="H98" s="105"/>
      <c r="I98" s="105"/>
      <c r="J98" s="106">
        <f>J121</f>
        <v>1929887.63</v>
      </c>
      <c r="L98" s="103"/>
    </row>
    <row r="99" spans="2:12" s="8" customFormat="1" ht="24.95" customHeight="1">
      <c r="B99" s="99"/>
      <c r="D99" s="100" t="s">
        <v>1508</v>
      </c>
      <c r="E99" s="101"/>
      <c r="F99" s="101"/>
      <c r="G99" s="101"/>
      <c r="H99" s="101"/>
      <c r="I99" s="101"/>
      <c r="J99" s="102">
        <f>J179</f>
        <v>44900</v>
      </c>
      <c r="L99" s="99"/>
    </row>
    <row r="100" spans="2:12" s="1" customFormat="1" ht="21.75" customHeight="1">
      <c r="B100" s="27"/>
      <c r="L100" s="27"/>
    </row>
    <row r="101" spans="2:12" s="1" customFormat="1" ht="6.95" customHeight="1">
      <c r="B101" s="39"/>
      <c r="C101" s="40"/>
      <c r="D101" s="40"/>
      <c r="E101" s="40"/>
      <c r="F101" s="40"/>
      <c r="G101" s="40"/>
      <c r="H101" s="40"/>
      <c r="I101" s="40"/>
      <c r="J101" s="40"/>
      <c r="K101" s="40"/>
      <c r="L101" s="27"/>
    </row>
    <row r="105" spans="2:12" s="1" customFormat="1" ht="6.95" customHeight="1">
      <c r="B105" s="41"/>
      <c r="C105" s="42"/>
      <c r="D105" s="42"/>
      <c r="E105" s="42"/>
      <c r="F105" s="42"/>
      <c r="G105" s="42"/>
      <c r="H105" s="42"/>
      <c r="I105" s="42"/>
      <c r="J105" s="42"/>
      <c r="K105" s="42"/>
      <c r="L105" s="27"/>
    </row>
    <row r="106" spans="2:12" s="1" customFormat="1" ht="24.95" customHeight="1">
      <c r="B106" s="27"/>
      <c r="C106" s="19" t="s">
        <v>126</v>
      </c>
      <c r="L106" s="27"/>
    </row>
    <row r="107" spans="2:12" s="1" customFormat="1" ht="6.95" customHeight="1">
      <c r="B107" s="27"/>
      <c r="L107" s="27"/>
    </row>
    <row r="108" spans="2:12" s="1" customFormat="1" ht="12" customHeight="1">
      <c r="B108" s="27"/>
      <c r="C108" s="24" t="s">
        <v>14</v>
      </c>
      <c r="L108" s="27"/>
    </row>
    <row r="109" spans="2:12" s="1" customFormat="1" ht="26.25" customHeight="1">
      <c r="B109" s="27"/>
      <c r="E109" s="283" t="str">
        <f>E7</f>
        <v>Rozvoj komunitních sociálních služeb DOZP v lokalitě Jičín - aktualizace PD - změna PD 11/2022</v>
      </c>
      <c r="F109" s="284"/>
      <c r="G109" s="284"/>
      <c r="H109" s="284"/>
      <c r="L109" s="27"/>
    </row>
    <row r="110" spans="2:12" s="1" customFormat="1" ht="12" customHeight="1">
      <c r="B110" s="27"/>
      <c r="C110" s="24" t="s">
        <v>90</v>
      </c>
      <c r="L110" s="27"/>
    </row>
    <row r="111" spans="2:12" s="1" customFormat="1" ht="16.5" customHeight="1">
      <c r="B111" s="27"/>
      <c r="E111" s="270" t="str">
        <f>E9</f>
        <v>Objekt B - c - Vzduchotechnika</v>
      </c>
      <c r="F111" s="285"/>
      <c r="G111" s="285"/>
      <c r="H111" s="285"/>
      <c r="L111" s="27"/>
    </row>
    <row r="112" spans="2:12" s="1" customFormat="1" ht="6.95" customHeight="1">
      <c r="B112" s="27"/>
      <c r="L112" s="27"/>
    </row>
    <row r="113" spans="2:65" s="1" customFormat="1" ht="12" customHeight="1">
      <c r="B113" s="27"/>
      <c r="C113" s="24" t="s">
        <v>18</v>
      </c>
      <c r="F113" s="22" t="str">
        <f>F12</f>
        <v>Jičín</v>
      </c>
      <c r="I113" s="24" t="s">
        <v>20</v>
      </c>
      <c r="J113" s="47" t="str">
        <f>IF(J12="","",J12)</f>
        <v>15. 3. 2022</v>
      </c>
      <c r="L113" s="27"/>
    </row>
    <row r="114" spans="2:65" s="1" customFormat="1" ht="6.95" customHeight="1">
      <c r="B114" s="27"/>
      <c r="L114" s="27"/>
    </row>
    <row r="115" spans="2:65" s="1" customFormat="1" ht="15.2" customHeight="1">
      <c r="B115" s="27"/>
      <c r="C115" s="24" t="s">
        <v>21</v>
      </c>
      <c r="F115" s="22" t="str">
        <f>E15</f>
        <v xml:space="preserve"> </v>
      </c>
      <c r="I115" s="24" t="s">
        <v>27</v>
      </c>
      <c r="J115" s="25" t="str">
        <f>E21</f>
        <v xml:space="preserve"> </v>
      </c>
      <c r="L115" s="27"/>
    </row>
    <row r="116" spans="2:65" s="1" customFormat="1" ht="15.2" customHeight="1">
      <c r="B116" s="27"/>
      <c r="C116" s="24" t="s">
        <v>25</v>
      </c>
      <c r="F116" s="22" t="str">
        <f>IF(E18="","",E18)</f>
        <v xml:space="preserve"> </v>
      </c>
      <c r="I116" s="24" t="s">
        <v>30</v>
      </c>
      <c r="J116" s="25" t="str">
        <f>E24</f>
        <v xml:space="preserve"> </v>
      </c>
      <c r="L116" s="27"/>
    </row>
    <row r="117" spans="2:65" s="1" customFormat="1" ht="10.35" customHeight="1">
      <c r="B117" s="27"/>
      <c r="L117" s="27"/>
    </row>
    <row r="118" spans="2:65" s="10" customFormat="1" ht="29.25" customHeight="1">
      <c r="B118" s="107"/>
      <c r="C118" s="108" t="s">
        <v>127</v>
      </c>
      <c r="D118" s="109" t="s">
        <v>58</v>
      </c>
      <c r="E118" s="109" t="s">
        <v>54</v>
      </c>
      <c r="F118" s="109" t="s">
        <v>55</v>
      </c>
      <c r="G118" s="109" t="s">
        <v>128</v>
      </c>
      <c r="H118" s="109" t="s">
        <v>129</v>
      </c>
      <c r="I118" s="109" t="s">
        <v>130</v>
      </c>
      <c r="J118" s="109" t="s">
        <v>94</v>
      </c>
      <c r="K118" s="110" t="s">
        <v>131</v>
      </c>
      <c r="L118" s="107"/>
      <c r="M118" s="54" t="s">
        <v>1</v>
      </c>
      <c r="N118" s="55" t="s">
        <v>37</v>
      </c>
      <c r="O118" s="55" t="s">
        <v>132</v>
      </c>
      <c r="P118" s="55" t="s">
        <v>133</v>
      </c>
      <c r="Q118" s="55" t="s">
        <v>134</v>
      </c>
      <c r="R118" s="55" t="s">
        <v>135</v>
      </c>
      <c r="S118" s="55" t="s">
        <v>136</v>
      </c>
      <c r="T118" s="56" t="s">
        <v>137</v>
      </c>
    </row>
    <row r="119" spans="2:65" s="1" customFormat="1" ht="22.9" customHeight="1">
      <c r="B119" s="27"/>
      <c r="C119" s="59" t="s">
        <v>138</v>
      </c>
      <c r="J119" s="111">
        <f>BK119</f>
        <v>1974787.63</v>
      </c>
      <c r="L119" s="27"/>
      <c r="M119" s="57"/>
      <c r="N119" s="48"/>
      <c r="O119" s="48"/>
      <c r="P119" s="112">
        <f>P120+P179</f>
        <v>693.55687</v>
      </c>
      <c r="Q119" s="48"/>
      <c r="R119" s="112">
        <f>R120+R179</f>
        <v>1.8628600000000002</v>
      </c>
      <c r="S119" s="48"/>
      <c r="T119" s="113">
        <f>T120+T179</f>
        <v>0</v>
      </c>
      <c r="AT119" s="15" t="s">
        <v>72</v>
      </c>
      <c r="AU119" s="15" t="s">
        <v>96</v>
      </c>
      <c r="BK119" s="114">
        <f>BK120+BK179</f>
        <v>1974787.63</v>
      </c>
    </row>
    <row r="120" spans="2:65" s="11" customFormat="1" ht="25.9" customHeight="1">
      <c r="B120" s="115"/>
      <c r="D120" s="116" t="s">
        <v>72</v>
      </c>
      <c r="E120" s="117" t="s">
        <v>516</v>
      </c>
      <c r="F120" s="117" t="s">
        <v>517</v>
      </c>
      <c r="J120" s="118">
        <f>BK120</f>
        <v>1929887.63</v>
      </c>
      <c r="L120" s="115"/>
      <c r="M120" s="119"/>
      <c r="P120" s="120">
        <f>P121</f>
        <v>593.55687</v>
      </c>
      <c r="R120" s="120">
        <f>R121</f>
        <v>1.8628600000000002</v>
      </c>
      <c r="T120" s="121">
        <f>T121</f>
        <v>0</v>
      </c>
      <c r="AR120" s="116" t="s">
        <v>143</v>
      </c>
      <c r="AT120" s="122" t="s">
        <v>72</v>
      </c>
      <c r="AU120" s="122" t="s">
        <v>73</v>
      </c>
      <c r="AY120" s="116" t="s">
        <v>141</v>
      </c>
      <c r="BK120" s="123">
        <f>BK121</f>
        <v>1929887.63</v>
      </c>
    </row>
    <row r="121" spans="2:65" s="11" customFormat="1" ht="22.9" customHeight="1">
      <c r="B121" s="115"/>
      <c r="D121" s="116" t="s">
        <v>72</v>
      </c>
      <c r="E121" s="124" t="s">
        <v>751</v>
      </c>
      <c r="F121" s="124" t="s">
        <v>752</v>
      </c>
      <c r="J121" s="125">
        <f>BK121</f>
        <v>1929887.63</v>
      </c>
      <c r="L121" s="115"/>
      <c r="M121" s="119"/>
      <c r="P121" s="120">
        <f>SUM(P122:P178)</f>
        <v>593.55687</v>
      </c>
      <c r="R121" s="120">
        <f>SUM(R122:R178)</f>
        <v>1.8628600000000002</v>
      </c>
      <c r="T121" s="121">
        <f>SUM(T122:T178)</f>
        <v>0</v>
      </c>
      <c r="AR121" s="116" t="s">
        <v>143</v>
      </c>
      <c r="AT121" s="122" t="s">
        <v>72</v>
      </c>
      <c r="AU121" s="122" t="s">
        <v>81</v>
      </c>
      <c r="AY121" s="116" t="s">
        <v>141</v>
      </c>
      <c r="BK121" s="123">
        <f>SUM(BK122:BK178)</f>
        <v>1929887.63</v>
      </c>
    </row>
    <row r="122" spans="2:65" s="1" customFormat="1" ht="33" customHeight="1">
      <c r="B122" s="126"/>
      <c r="C122" s="127" t="s">
        <v>81</v>
      </c>
      <c r="D122" s="127" t="s">
        <v>144</v>
      </c>
      <c r="E122" s="128" t="s">
        <v>1730</v>
      </c>
      <c r="F122" s="129" t="s">
        <v>1729</v>
      </c>
      <c r="G122" s="130" t="s">
        <v>147</v>
      </c>
      <c r="H122" s="131">
        <v>3</v>
      </c>
      <c r="I122" s="132">
        <v>207</v>
      </c>
      <c r="J122" s="132">
        <f t="shared" ref="J122:J148" si="0">ROUND(I122*H122,2)</f>
        <v>621</v>
      </c>
      <c r="K122" s="129" t="s">
        <v>148</v>
      </c>
      <c r="L122" s="27"/>
      <c r="M122" s="133" t="s">
        <v>1</v>
      </c>
      <c r="N122" s="134" t="s">
        <v>39</v>
      </c>
      <c r="O122" s="135">
        <v>0.48299999999999998</v>
      </c>
      <c r="P122" s="135">
        <f t="shared" ref="P122:P148" si="1">O122*H122</f>
        <v>1.4489999999999998</v>
      </c>
      <c r="Q122" s="135">
        <v>0</v>
      </c>
      <c r="R122" s="135">
        <f t="shared" ref="R122:R148" si="2">Q122*H122</f>
        <v>0</v>
      </c>
      <c r="S122" s="135">
        <v>0</v>
      </c>
      <c r="T122" s="136">
        <f t="shared" ref="T122:T148" si="3">S122*H122</f>
        <v>0</v>
      </c>
      <c r="AR122" s="137" t="s">
        <v>206</v>
      </c>
      <c r="AT122" s="137" t="s">
        <v>144</v>
      </c>
      <c r="AU122" s="137" t="s">
        <v>143</v>
      </c>
      <c r="AY122" s="15" t="s">
        <v>141</v>
      </c>
      <c r="BE122" s="138">
        <f t="shared" ref="BE122:BE148" si="4">IF(N122="základní",J122,0)</f>
        <v>0</v>
      </c>
      <c r="BF122" s="138">
        <f t="shared" ref="BF122:BF148" si="5">IF(N122="snížená",J122,0)</f>
        <v>621</v>
      </c>
      <c r="BG122" s="138">
        <f t="shared" ref="BG122:BG148" si="6">IF(N122="zákl. přenesená",J122,0)</f>
        <v>0</v>
      </c>
      <c r="BH122" s="138">
        <f t="shared" ref="BH122:BH148" si="7">IF(N122="sníž. přenesená",J122,0)</f>
        <v>0</v>
      </c>
      <c r="BI122" s="138">
        <f t="shared" ref="BI122:BI148" si="8">IF(N122="nulová",J122,0)</f>
        <v>0</v>
      </c>
      <c r="BJ122" s="15" t="s">
        <v>143</v>
      </c>
      <c r="BK122" s="138">
        <f t="shared" ref="BK122:BK148" si="9">ROUND(I122*H122,2)</f>
        <v>621</v>
      </c>
      <c r="BL122" s="15" t="s">
        <v>206</v>
      </c>
      <c r="BM122" s="137" t="s">
        <v>1728</v>
      </c>
    </row>
    <row r="123" spans="2:65" s="1" customFormat="1" ht="24.2" customHeight="1">
      <c r="B123" s="126"/>
      <c r="C123" s="139" t="s">
        <v>143</v>
      </c>
      <c r="D123" s="139" t="s">
        <v>207</v>
      </c>
      <c r="E123" s="140" t="s">
        <v>1727</v>
      </c>
      <c r="F123" s="141" t="s">
        <v>1726</v>
      </c>
      <c r="G123" s="142" t="s">
        <v>147</v>
      </c>
      <c r="H123" s="143">
        <v>3</v>
      </c>
      <c r="I123" s="144">
        <v>1900</v>
      </c>
      <c r="J123" s="144">
        <f t="shared" si="0"/>
        <v>5700</v>
      </c>
      <c r="K123" s="141" t="s">
        <v>148</v>
      </c>
      <c r="L123" s="145"/>
      <c r="M123" s="146" t="s">
        <v>1</v>
      </c>
      <c r="N123" s="147" t="s">
        <v>39</v>
      </c>
      <c r="O123" s="135">
        <v>0</v>
      </c>
      <c r="P123" s="135">
        <f t="shared" si="1"/>
        <v>0</v>
      </c>
      <c r="Q123" s="135">
        <v>8.9999999999999998E-4</v>
      </c>
      <c r="R123" s="135">
        <f t="shared" si="2"/>
        <v>2.7000000000000001E-3</v>
      </c>
      <c r="S123" s="135">
        <v>0</v>
      </c>
      <c r="T123" s="136">
        <f t="shared" si="3"/>
        <v>0</v>
      </c>
      <c r="AR123" s="137" t="s">
        <v>274</v>
      </c>
      <c r="AT123" s="137" t="s">
        <v>207</v>
      </c>
      <c r="AU123" s="137" t="s">
        <v>143</v>
      </c>
      <c r="AY123" s="15" t="s">
        <v>141</v>
      </c>
      <c r="BE123" s="138">
        <f t="shared" si="4"/>
        <v>0</v>
      </c>
      <c r="BF123" s="138">
        <f t="shared" si="5"/>
        <v>5700</v>
      </c>
      <c r="BG123" s="138">
        <f t="shared" si="6"/>
        <v>0</v>
      </c>
      <c r="BH123" s="138">
        <f t="shared" si="7"/>
        <v>0</v>
      </c>
      <c r="BI123" s="138">
        <f t="shared" si="8"/>
        <v>0</v>
      </c>
      <c r="BJ123" s="15" t="s">
        <v>143</v>
      </c>
      <c r="BK123" s="138">
        <f t="shared" si="9"/>
        <v>5700</v>
      </c>
      <c r="BL123" s="15" t="s">
        <v>206</v>
      </c>
      <c r="BM123" s="137" t="s">
        <v>1725</v>
      </c>
    </row>
    <row r="124" spans="2:65" s="1" customFormat="1" ht="24.2" customHeight="1">
      <c r="B124" s="126"/>
      <c r="C124" s="127" t="s">
        <v>151</v>
      </c>
      <c r="D124" s="127" t="s">
        <v>144</v>
      </c>
      <c r="E124" s="128" t="s">
        <v>1724</v>
      </c>
      <c r="F124" s="129" t="s">
        <v>1723</v>
      </c>
      <c r="G124" s="130" t="s">
        <v>147</v>
      </c>
      <c r="H124" s="131">
        <v>3</v>
      </c>
      <c r="I124" s="132">
        <v>266</v>
      </c>
      <c r="J124" s="132">
        <f t="shared" si="0"/>
        <v>798</v>
      </c>
      <c r="K124" s="129" t="s">
        <v>148</v>
      </c>
      <c r="L124" s="27"/>
      <c r="M124" s="133" t="s">
        <v>1</v>
      </c>
      <c r="N124" s="134" t="s">
        <v>39</v>
      </c>
      <c r="O124" s="135">
        <v>0.621</v>
      </c>
      <c r="P124" s="135">
        <f t="shared" si="1"/>
        <v>1.863</v>
      </c>
      <c r="Q124" s="135">
        <v>0</v>
      </c>
      <c r="R124" s="135">
        <f t="shared" si="2"/>
        <v>0</v>
      </c>
      <c r="S124" s="135">
        <v>0</v>
      </c>
      <c r="T124" s="136">
        <f t="shared" si="3"/>
        <v>0</v>
      </c>
      <c r="AR124" s="137" t="s">
        <v>206</v>
      </c>
      <c r="AT124" s="137" t="s">
        <v>144</v>
      </c>
      <c r="AU124" s="137" t="s">
        <v>143</v>
      </c>
      <c r="AY124" s="15" t="s">
        <v>141</v>
      </c>
      <c r="BE124" s="138">
        <f t="shared" si="4"/>
        <v>0</v>
      </c>
      <c r="BF124" s="138">
        <f t="shared" si="5"/>
        <v>798</v>
      </c>
      <c r="BG124" s="138">
        <f t="shared" si="6"/>
        <v>0</v>
      </c>
      <c r="BH124" s="138">
        <f t="shared" si="7"/>
        <v>0</v>
      </c>
      <c r="BI124" s="138">
        <f t="shared" si="8"/>
        <v>0</v>
      </c>
      <c r="BJ124" s="15" t="s">
        <v>143</v>
      </c>
      <c r="BK124" s="138">
        <f t="shared" si="9"/>
        <v>798</v>
      </c>
      <c r="BL124" s="15" t="s">
        <v>206</v>
      </c>
      <c r="BM124" s="137" t="s">
        <v>1722</v>
      </c>
    </row>
    <row r="125" spans="2:65" s="1" customFormat="1" ht="24.2" customHeight="1">
      <c r="B125" s="126"/>
      <c r="C125" s="139" t="s">
        <v>149</v>
      </c>
      <c r="D125" s="139" t="s">
        <v>207</v>
      </c>
      <c r="E125" s="140" t="s">
        <v>1721</v>
      </c>
      <c r="F125" s="141" t="s">
        <v>1720</v>
      </c>
      <c r="G125" s="142" t="s">
        <v>147</v>
      </c>
      <c r="H125" s="143">
        <v>1</v>
      </c>
      <c r="I125" s="144">
        <v>3550</v>
      </c>
      <c r="J125" s="144">
        <f t="shared" si="0"/>
        <v>3550</v>
      </c>
      <c r="K125" s="141" t="s">
        <v>148</v>
      </c>
      <c r="L125" s="145"/>
      <c r="M125" s="146" t="s">
        <v>1</v>
      </c>
      <c r="N125" s="147" t="s">
        <v>39</v>
      </c>
      <c r="O125" s="135">
        <v>0</v>
      </c>
      <c r="P125" s="135">
        <f t="shared" si="1"/>
        <v>0</v>
      </c>
      <c r="Q125" s="135">
        <v>2E-3</v>
      </c>
      <c r="R125" s="135">
        <f t="shared" si="2"/>
        <v>2E-3</v>
      </c>
      <c r="S125" s="135">
        <v>0</v>
      </c>
      <c r="T125" s="136">
        <f t="shared" si="3"/>
        <v>0</v>
      </c>
      <c r="AR125" s="137" t="s">
        <v>274</v>
      </c>
      <c r="AT125" s="137" t="s">
        <v>207</v>
      </c>
      <c r="AU125" s="137" t="s">
        <v>143</v>
      </c>
      <c r="AY125" s="15" t="s">
        <v>141</v>
      </c>
      <c r="BE125" s="138">
        <f t="shared" si="4"/>
        <v>0</v>
      </c>
      <c r="BF125" s="138">
        <f t="shared" si="5"/>
        <v>3550</v>
      </c>
      <c r="BG125" s="138">
        <f t="shared" si="6"/>
        <v>0</v>
      </c>
      <c r="BH125" s="138">
        <f t="shared" si="7"/>
        <v>0</v>
      </c>
      <c r="BI125" s="138">
        <f t="shared" si="8"/>
        <v>0</v>
      </c>
      <c r="BJ125" s="15" t="s">
        <v>143</v>
      </c>
      <c r="BK125" s="138">
        <f t="shared" si="9"/>
        <v>3550</v>
      </c>
      <c r="BL125" s="15" t="s">
        <v>206</v>
      </c>
      <c r="BM125" s="137" t="s">
        <v>1719</v>
      </c>
    </row>
    <row r="126" spans="2:65" s="1" customFormat="1" ht="24.2" customHeight="1">
      <c r="B126" s="126"/>
      <c r="C126" s="139" t="s">
        <v>159</v>
      </c>
      <c r="D126" s="139" t="s">
        <v>207</v>
      </c>
      <c r="E126" s="140" t="s">
        <v>1718</v>
      </c>
      <c r="F126" s="141" t="s">
        <v>1717</v>
      </c>
      <c r="G126" s="142" t="s">
        <v>147</v>
      </c>
      <c r="H126" s="143">
        <v>2</v>
      </c>
      <c r="I126" s="144">
        <v>3890</v>
      </c>
      <c r="J126" s="144">
        <f t="shared" si="0"/>
        <v>7780</v>
      </c>
      <c r="K126" s="141" t="s">
        <v>148</v>
      </c>
      <c r="L126" s="145"/>
      <c r="M126" s="146" t="s">
        <v>1</v>
      </c>
      <c r="N126" s="147" t="s">
        <v>39</v>
      </c>
      <c r="O126" s="135">
        <v>0</v>
      </c>
      <c r="P126" s="135">
        <f t="shared" si="1"/>
        <v>0</v>
      </c>
      <c r="Q126" s="135">
        <v>2E-3</v>
      </c>
      <c r="R126" s="135">
        <f t="shared" si="2"/>
        <v>4.0000000000000001E-3</v>
      </c>
      <c r="S126" s="135">
        <v>0</v>
      </c>
      <c r="T126" s="136">
        <f t="shared" si="3"/>
        <v>0</v>
      </c>
      <c r="AR126" s="137" t="s">
        <v>274</v>
      </c>
      <c r="AT126" s="137" t="s">
        <v>207</v>
      </c>
      <c r="AU126" s="137" t="s">
        <v>143</v>
      </c>
      <c r="AY126" s="15" t="s">
        <v>141</v>
      </c>
      <c r="BE126" s="138">
        <f t="shared" si="4"/>
        <v>0</v>
      </c>
      <c r="BF126" s="138">
        <f t="shared" si="5"/>
        <v>7780</v>
      </c>
      <c r="BG126" s="138">
        <f t="shared" si="6"/>
        <v>0</v>
      </c>
      <c r="BH126" s="138">
        <f t="shared" si="7"/>
        <v>0</v>
      </c>
      <c r="BI126" s="138">
        <f t="shared" si="8"/>
        <v>0</v>
      </c>
      <c r="BJ126" s="15" t="s">
        <v>143</v>
      </c>
      <c r="BK126" s="138">
        <f t="shared" si="9"/>
        <v>7780</v>
      </c>
      <c r="BL126" s="15" t="s">
        <v>206</v>
      </c>
      <c r="BM126" s="137" t="s">
        <v>1716</v>
      </c>
    </row>
    <row r="127" spans="2:65" s="1" customFormat="1" ht="24.2" customHeight="1">
      <c r="B127" s="126"/>
      <c r="C127" s="127" t="s">
        <v>164</v>
      </c>
      <c r="D127" s="127" t="s">
        <v>144</v>
      </c>
      <c r="E127" s="128" t="s">
        <v>1715</v>
      </c>
      <c r="F127" s="129" t="s">
        <v>1714</v>
      </c>
      <c r="G127" s="130" t="s">
        <v>147</v>
      </c>
      <c r="H127" s="131">
        <v>30</v>
      </c>
      <c r="I127" s="132">
        <v>142</v>
      </c>
      <c r="J127" s="132">
        <f t="shared" si="0"/>
        <v>4260</v>
      </c>
      <c r="K127" s="129" t="s">
        <v>148</v>
      </c>
      <c r="L127" s="27"/>
      <c r="M127" s="133" t="s">
        <v>1</v>
      </c>
      <c r="N127" s="134" t="s">
        <v>39</v>
      </c>
      <c r="O127" s="135">
        <v>0.33800000000000002</v>
      </c>
      <c r="P127" s="135">
        <f t="shared" si="1"/>
        <v>10.14</v>
      </c>
      <c r="Q127" s="135">
        <v>0</v>
      </c>
      <c r="R127" s="135">
        <f t="shared" si="2"/>
        <v>0</v>
      </c>
      <c r="S127" s="135">
        <v>0</v>
      </c>
      <c r="T127" s="136">
        <f t="shared" si="3"/>
        <v>0</v>
      </c>
      <c r="AR127" s="137" t="s">
        <v>206</v>
      </c>
      <c r="AT127" s="137" t="s">
        <v>144</v>
      </c>
      <c r="AU127" s="137" t="s">
        <v>143</v>
      </c>
      <c r="AY127" s="15" t="s">
        <v>141</v>
      </c>
      <c r="BE127" s="138">
        <f t="shared" si="4"/>
        <v>0</v>
      </c>
      <c r="BF127" s="138">
        <f t="shared" si="5"/>
        <v>4260</v>
      </c>
      <c r="BG127" s="138">
        <f t="shared" si="6"/>
        <v>0</v>
      </c>
      <c r="BH127" s="138">
        <f t="shared" si="7"/>
        <v>0</v>
      </c>
      <c r="BI127" s="138">
        <f t="shared" si="8"/>
        <v>0</v>
      </c>
      <c r="BJ127" s="15" t="s">
        <v>143</v>
      </c>
      <c r="BK127" s="138">
        <f t="shared" si="9"/>
        <v>4260</v>
      </c>
      <c r="BL127" s="15" t="s">
        <v>206</v>
      </c>
      <c r="BM127" s="137" t="s">
        <v>1713</v>
      </c>
    </row>
    <row r="128" spans="2:65" s="1" customFormat="1" ht="24.2" customHeight="1">
      <c r="B128" s="126"/>
      <c r="C128" s="139" t="s">
        <v>168</v>
      </c>
      <c r="D128" s="139" t="s">
        <v>207</v>
      </c>
      <c r="E128" s="140" t="s">
        <v>1712</v>
      </c>
      <c r="F128" s="141" t="s">
        <v>1711</v>
      </c>
      <c r="G128" s="142" t="s">
        <v>147</v>
      </c>
      <c r="H128" s="143">
        <v>30</v>
      </c>
      <c r="I128" s="144">
        <v>195</v>
      </c>
      <c r="J128" s="144">
        <f t="shared" si="0"/>
        <v>5850</v>
      </c>
      <c r="K128" s="141" t="s">
        <v>148</v>
      </c>
      <c r="L128" s="145"/>
      <c r="M128" s="146" t="s">
        <v>1</v>
      </c>
      <c r="N128" s="147" t="s">
        <v>39</v>
      </c>
      <c r="O128" s="135">
        <v>0</v>
      </c>
      <c r="P128" s="135">
        <f t="shared" si="1"/>
        <v>0</v>
      </c>
      <c r="Q128" s="135">
        <v>2.0000000000000001E-4</v>
      </c>
      <c r="R128" s="135">
        <f t="shared" si="2"/>
        <v>6.0000000000000001E-3</v>
      </c>
      <c r="S128" s="135">
        <v>0</v>
      </c>
      <c r="T128" s="136">
        <f t="shared" si="3"/>
        <v>0</v>
      </c>
      <c r="AR128" s="137" t="s">
        <v>274</v>
      </c>
      <c r="AT128" s="137" t="s">
        <v>207</v>
      </c>
      <c r="AU128" s="137" t="s">
        <v>143</v>
      </c>
      <c r="AY128" s="15" t="s">
        <v>141</v>
      </c>
      <c r="BE128" s="138">
        <f t="shared" si="4"/>
        <v>0</v>
      </c>
      <c r="BF128" s="138">
        <f t="shared" si="5"/>
        <v>5850</v>
      </c>
      <c r="BG128" s="138">
        <f t="shared" si="6"/>
        <v>0</v>
      </c>
      <c r="BH128" s="138">
        <f t="shared" si="7"/>
        <v>0</v>
      </c>
      <c r="BI128" s="138">
        <f t="shared" si="8"/>
        <v>0</v>
      </c>
      <c r="BJ128" s="15" t="s">
        <v>143</v>
      </c>
      <c r="BK128" s="138">
        <f t="shared" si="9"/>
        <v>5850</v>
      </c>
      <c r="BL128" s="15" t="s">
        <v>206</v>
      </c>
      <c r="BM128" s="137" t="s">
        <v>1710</v>
      </c>
    </row>
    <row r="129" spans="2:65" s="1" customFormat="1" ht="33" customHeight="1">
      <c r="B129" s="126"/>
      <c r="C129" s="127" t="s">
        <v>172</v>
      </c>
      <c r="D129" s="127" t="s">
        <v>144</v>
      </c>
      <c r="E129" s="128" t="s">
        <v>1709</v>
      </c>
      <c r="F129" s="129" t="s">
        <v>1708</v>
      </c>
      <c r="G129" s="130" t="s">
        <v>147</v>
      </c>
      <c r="H129" s="131">
        <v>26</v>
      </c>
      <c r="I129" s="132">
        <v>178</v>
      </c>
      <c r="J129" s="132">
        <f t="shared" si="0"/>
        <v>4628</v>
      </c>
      <c r="K129" s="129" t="s">
        <v>148</v>
      </c>
      <c r="L129" s="27"/>
      <c r="M129" s="133" t="s">
        <v>1</v>
      </c>
      <c r="N129" s="134" t="s">
        <v>39</v>
      </c>
      <c r="O129" s="135">
        <v>0.42299999999999999</v>
      </c>
      <c r="P129" s="135">
        <f t="shared" si="1"/>
        <v>10.997999999999999</v>
      </c>
      <c r="Q129" s="135">
        <v>0</v>
      </c>
      <c r="R129" s="135">
        <f t="shared" si="2"/>
        <v>0</v>
      </c>
      <c r="S129" s="135">
        <v>0</v>
      </c>
      <c r="T129" s="136">
        <f t="shared" si="3"/>
        <v>0</v>
      </c>
      <c r="AR129" s="137" t="s">
        <v>206</v>
      </c>
      <c r="AT129" s="137" t="s">
        <v>144</v>
      </c>
      <c r="AU129" s="137" t="s">
        <v>143</v>
      </c>
      <c r="AY129" s="15" t="s">
        <v>141</v>
      </c>
      <c r="BE129" s="138">
        <f t="shared" si="4"/>
        <v>0</v>
      </c>
      <c r="BF129" s="138">
        <f t="shared" si="5"/>
        <v>4628</v>
      </c>
      <c r="BG129" s="138">
        <f t="shared" si="6"/>
        <v>0</v>
      </c>
      <c r="BH129" s="138">
        <f t="shared" si="7"/>
        <v>0</v>
      </c>
      <c r="BI129" s="138">
        <f t="shared" si="8"/>
        <v>0</v>
      </c>
      <c r="BJ129" s="15" t="s">
        <v>143</v>
      </c>
      <c r="BK129" s="138">
        <f t="shared" si="9"/>
        <v>4628</v>
      </c>
      <c r="BL129" s="15" t="s">
        <v>206</v>
      </c>
      <c r="BM129" s="137" t="s">
        <v>1707</v>
      </c>
    </row>
    <row r="130" spans="2:65" s="1" customFormat="1" ht="24.2" customHeight="1">
      <c r="B130" s="126"/>
      <c r="C130" s="139" t="s">
        <v>176</v>
      </c>
      <c r="D130" s="139" t="s">
        <v>207</v>
      </c>
      <c r="E130" s="140" t="s">
        <v>1706</v>
      </c>
      <c r="F130" s="141" t="s">
        <v>1705</v>
      </c>
      <c r="G130" s="142" t="s">
        <v>147</v>
      </c>
      <c r="H130" s="143">
        <v>26</v>
      </c>
      <c r="I130" s="144">
        <v>216</v>
      </c>
      <c r="J130" s="144">
        <f t="shared" si="0"/>
        <v>5616</v>
      </c>
      <c r="K130" s="141" t="s">
        <v>148</v>
      </c>
      <c r="L130" s="145"/>
      <c r="M130" s="146" t="s">
        <v>1</v>
      </c>
      <c r="N130" s="147" t="s">
        <v>39</v>
      </c>
      <c r="O130" s="135">
        <v>0</v>
      </c>
      <c r="P130" s="135">
        <f t="shared" si="1"/>
        <v>0</v>
      </c>
      <c r="Q130" s="135">
        <v>2.0000000000000001E-4</v>
      </c>
      <c r="R130" s="135">
        <f t="shared" si="2"/>
        <v>5.2000000000000006E-3</v>
      </c>
      <c r="S130" s="135">
        <v>0</v>
      </c>
      <c r="T130" s="136">
        <f t="shared" si="3"/>
        <v>0</v>
      </c>
      <c r="AR130" s="137" t="s">
        <v>274</v>
      </c>
      <c r="AT130" s="137" t="s">
        <v>207</v>
      </c>
      <c r="AU130" s="137" t="s">
        <v>143</v>
      </c>
      <c r="AY130" s="15" t="s">
        <v>141</v>
      </c>
      <c r="BE130" s="138">
        <f t="shared" si="4"/>
        <v>0</v>
      </c>
      <c r="BF130" s="138">
        <f t="shared" si="5"/>
        <v>5616</v>
      </c>
      <c r="BG130" s="138">
        <f t="shared" si="6"/>
        <v>0</v>
      </c>
      <c r="BH130" s="138">
        <f t="shared" si="7"/>
        <v>0</v>
      </c>
      <c r="BI130" s="138">
        <f t="shared" si="8"/>
        <v>0</v>
      </c>
      <c r="BJ130" s="15" t="s">
        <v>143</v>
      </c>
      <c r="BK130" s="138">
        <f t="shared" si="9"/>
        <v>5616</v>
      </c>
      <c r="BL130" s="15" t="s">
        <v>206</v>
      </c>
      <c r="BM130" s="137" t="s">
        <v>1704</v>
      </c>
    </row>
    <row r="131" spans="2:65" s="1" customFormat="1" ht="24.2" customHeight="1">
      <c r="B131" s="126"/>
      <c r="C131" s="127" t="s">
        <v>181</v>
      </c>
      <c r="D131" s="127" t="s">
        <v>144</v>
      </c>
      <c r="E131" s="128" t="s">
        <v>1703</v>
      </c>
      <c r="F131" s="129" t="s">
        <v>1702</v>
      </c>
      <c r="G131" s="130" t="s">
        <v>147</v>
      </c>
      <c r="H131" s="131">
        <v>8</v>
      </c>
      <c r="I131" s="132">
        <v>391</v>
      </c>
      <c r="J131" s="132">
        <f t="shared" si="0"/>
        <v>3128</v>
      </c>
      <c r="K131" s="129" t="s">
        <v>148</v>
      </c>
      <c r="L131" s="27"/>
      <c r="M131" s="133" t="s">
        <v>1</v>
      </c>
      <c r="N131" s="134" t="s">
        <v>39</v>
      </c>
      <c r="O131" s="135">
        <v>0.93</v>
      </c>
      <c r="P131" s="135">
        <f t="shared" si="1"/>
        <v>7.44</v>
      </c>
      <c r="Q131" s="135">
        <v>0</v>
      </c>
      <c r="R131" s="135">
        <f t="shared" si="2"/>
        <v>0</v>
      </c>
      <c r="S131" s="135">
        <v>0</v>
      </c>
      <c r="T131" s="136">
        <f t="shared" si="3"/>
        <v>0</v>
      </c>
      <c r="AR131" s="137" t="s">
        <v>206</v>
      </c>
      <c r="AT131" s="137" t="s">
        <v>144</v>
      </c>
      <c r="AU131" s="137" t="s">
        <v>143</v>
      </c>
      <c r="AY131" s="15" t="s">
        <v>141</v>
      </c>
      <c r="BE131" s="138">
        <f t="shared" si="4"/>
        <v>0</v>
      </c>
      <c r="BF131" s="138">
        <f t="shared" si="5"/>
        <v>3128</v>
      </c>
      <c r="BG131" s="138">
        <f t="shared" si="6"/>
        <v>0</v>
      </c>
      <c r="BH131" s="138">
        <f t="shared" si="7"/>
        <v>0</v>
      </c>
      <c r="BI131" s="138">
        <f t="shared" si="8"/>
        <v>0</v>
      </c>
      <c r="BJ131" s="15" t="s">
        <v>143</v>
      </c>
      <c r="BK131" s="138">
        <f t="shared" si="9"/>
        <v>3128</v>
      </c>
      <c r="BL131" s="15" t="s">
        <v>206</v>
      </c>
      <c r="BM131" s="137" t="s">
        <v>1701</v>
      </c>
    </row>
    <row r="132" spans="2:65" s="1" customFormat="1" ht="16.5" customHeight="1">
      <c r="B132" s="126"/>
      <c r="C132" s="139" t="s">
        <v>185</v>
      </c>
      <c r="D132" s="139" t="s">
        <v>207</v>
      </c>
      <c r="E132" s="140" t="s">
        <v>1700</v>
      </c>
      <c r="F132" s="141" t="s">
        <v>1699</v>
      </c>
      <c r="G132" s="142" t="s">
        <v>147</v>
      </c>
      <c r="H132" s="143">
        <v>8</v>
      </c>
      <c r="I132" s="144">
        <v>2660</v>
      </c>
      <c r="J132" s="144">
        <f t="shared" si="0"/>
        <v>21280</v>
      </c>
      <c r="K132" s="141" t="s">
        <v>148</v>
      </c>
      <c r="L132" s="145"/>
      <c r="M132" s="146" t="s">
        <v>1</v>
      </c>
      <c r="N132" s="147" t="s">
        <v>39</v>
      </c>
      <c r="O132" s="135">
        <v>0</v>
      </c>
      <c r="P132" s="135">
        <f t="shared" si="1"/>
        <v>0</v>
      </c>
      <c r="Q132" s="135">
        <v>3.8999999999999998E-3</v>
      </c>
      <c r="R132" s="135">
        <f t="shared" si="2"/>
        <v>3.1199999999999999E-2</v>
      </c>
      <c r="S132" s="135">
        <v>0</v>
      </c>
      <c r="T132" s="136">
        <f t="shared" si="3"/>
        <v>0</v>
      </c>
      <c r="AR132" s="137" t="s">
        <v>274</v>
      </c>
      <c r="AT132" s="137" t="s">
        <v>207</v>
      </c>
      <c r="AU132" s="137" t="s">
        <v>143</v>
      </c>
      <c r="AY132" s="15" t="s">
        <v>141</v>
      </c>
      <c r="BE132" s="138">
        <f t="shared" si="4"/>
        <v>0</v>
      </c>
      <c r="BF132" s="138">
        <f t="shared" si="5"/>
        <v>21280</v>
      </c>
      <c r="BG132" s="138">
        <f t="shared" si="6"/>
        <v>0</v>
      </c>
      <c r="BH132" s="138">
        <f t="shared" si="7"/>
        <v>0</v>
      </c>
      <c r="BI132" s="138">
        <f t="shared" si="8"/>
        <v>0</v>
      </c>
      <c r="BJ132" s="15" t="s">
        <v>143</v>
      </c>
      <c r="BK132" s="138">
        <f t="shared" si="9"/>
        <v>21280</v>
      </c>
      <c r="BL132" s="15" t="s">
        <v>206</v>
      </c>
      <c r="BM132" s="137" t="s">
        <v>1698</v>
      </c>
    </row>
    <row r="133" spans="2:65" s="1" customFormat="1" ht="33" customHeight="1">
      <c r="B133" s="126"/>
      <c r="C133" s="127" t="s">
        <v>190</v>
      </c>
      <c r="D133" s="127" t="s">
        <v>144</v>
      </c>
      <c r="E133" s="128" t="s">
        <v>1697</v>
      </c>
      <c r="F133" s="129" t="s">
        <v>1696</v>
      </c>
      <c r="G133" s="130" t="s">
        <v>147</v>
      </c>
      <c r="H133" s="131">
        <v>14</v>
      </c>
      <c r="I133" s="132">
        <v>426</v>
      </c>
      <c r="J133" s="132">
        <f t="shared" si="0"/>
        <v>5964</v>
      </c>
      <c r="K133" s="129" t="s">
        <v>148</v>
      </c>
      <c r="L133" s="27"/>
      <c r="M133" s="133" t="s">
        <v>1</v>
      </c>
      <c r="N133" s="134" t="s">
        <v>39</v>
      </c>
      <c r="O133" s="135">
        <v>1.0149999999999999</v>
      </c>
      <c r="P133" s="135">
        <f t="shared" si="1"/>
        <v>14.209999999999999</v>
      </c>
      <c r="Q133" s="135">
        <v>0</v>
      </c>
      <c r="R133" s="135">
        <f t="shared" si="2"/>
        <v>0</v>
      </c>
      <c r="S133" s="135">
        <v>0</v>
      </c>
      <c r="T133" s="136">
        <f t="shared" si="3"/>
        <v>0</v>
      </c>
      <c r="AR133" s="137" t="s">
        <v>206</v>
      </c>
      <c r="AT133" s="137" t="s">
        <v>144</v>
      </c>
      <c r="AU133" s="137" t="s">
        <v>143</v>
      </c>
      <c r="AY133" s="15" t="s">
        <v>141</v>
      </c>
      <c r="BE133" s="138">
        <f t="shared" si="4"/>
        <v>0</v>
      </c>
      <c r="BF133" s="138">
        <f t="shared" si="5"/>
        <v>5964</v>
      </c>
      <c r="BG133" s="138">
        <f t="shared" si="6"/>
        <v>0</v>
      </c>
      <c r="BH133" s="138">
        <f t="shared" si="7"/>
        <v>0</v>
      </c>
      <c r="BI133" s="138">
        <f t="shared" si="8"/>
        <v>0</v>
      </c>
      <c r="BJ133" s="15" t="s">
        <v>143</v>
      </c>
      <c r="BK133" s="138">
        <f t="shared" si="9"/>
        <v>5964</v>
      </c>
      <c r="BL133" s="15" t="s">
        <v>206</v>
      </c>
      <c r="BM133" s="137" t="s">
        <v>1695</v>
      </c>
    </row>
    <row r="134" spans="2:65" s="1" customFormat="1" ht="24.2" customHeight="1">
      <c r="B134" s="126"/>
      <c r="C134" s="139" t="s">
        <v>195</v>
      </c>
      <c r="D134" s="139" t="s">
        <v>207</v>
      </c>
      <c r="E134" s="140" t="s">
        <v>1694</v>
      </c>
      <c r="F134" s="141" t="s">
        <v>1693</v>
      </c>
      <c r="G134" s="142" t="s">
        <v>147</v>
      </c>
      <c r="H134" s="143">
        <v>14</v>
      </c>
      <c r="I134" s="144">
        <v>4020</v>
      </c>
      <c r="J134" s="144">
        <f t="shared" si="0"/>
        <v>56280</v>
      </c>
      <c r="K134" s="141" t="s">
        <v>148</v>
      </c>
      <c r="L134" s="145"/>
      <c r="M134" s="146" t="s">
        <v>1</v>
      </c>
      <c r="N134" s="147" t="s">
        <v>39</v>
      </c>
      <c r="O134" s="135">
        <v>0</v>
      </c>
      <c r="P134" s="135">
        <f t="shared" si="1"/>
        <v>0</v>
      </c>
      <c r="Q134" s="135">
        <v>3.0000000000000001E-3</v>
      </c>
      <c r="R134" s="135">
        <f t="shared" si="2"/>
        <v>4.2000000000000003E-2</v>
      </c>
      <c r="S134" s="135">
        <v>0</v>
      </c>
      <c r="T134" s="136">
        <f t="shared" si="3"/>
        <v>0</v>
      </c>
      <c r="AR134" s="137" t="s">
        <v>274</v>
      </c>
      <c r="AT134" s="137" t="s">
        <v>207</v>
      </c>
      <c r="AU134" s="137" t="s">
        <v>143</v>
      </c>
      <c r="AY134" s="15" t="s">
        <v>141</v>
      </c>
      <c r="BE134" s="138">
        <f t="shared" si="4"/>
        <v>0</v>
      </c>
      <c r="BF134" s="138">
        <f t="shared" si="5"/>
        <v>56280</v>
      </c>
      <c r="BG134" s="138">
        <f t="shared" si="6"/>
        <v>0</v>
      </c>
      <c r="BH134" s="138">
        <f t="shared" si="7"/>
        <v>0</v>
      </c>
      <c r="BI134" s="138">
        <f t="shared" si="8"/>
        <v>0</v>
      </c>
      <c r="BJ134" s="15" t="s">
        <v>143</v>
      </c>
      <c r="BK134" s="138">
        <f t="shared" si="9"/>
        <v>56280</v>
      </c>
      <c r="BL134" s="15" t="s">
        <v>206</v>
      </c>
      <c r="BM134" s="137" t="s">
        <v>1692</v>
      </c>
    </row>
    <row r="135" spans="2:65" s="1" customFormat="1" ht="24.2" customHeight="1">
      <c r="B135" s="126"/>
      <c r="C135" s="127" t="s">
        <v>199</v>
      </c>
      <c r="D135" s="127" t="s">
        <v>144</v>
      </c>
      <c r="E135" s="128" t="s">
        <v>1691</v>
      </c>
      <c r="F135" s="129" t="s">
        <v>1690</v>
      </c>
      <c r="G135" s="130" t="s">
        <v>147</v>
      </c>
      <c r="H135" s="131">
        <v>2</v>
      </c>
      <c r="I135" s="132">
        <v>711</v>
      </c>
      <c r="J135" s="132">
        <f t="shared" si="0"/>
        <v>1422</v>
      </c>
      <c r="K135" s="129" t="s">
        <v>148</v>
      </c>
      <c r="L135" s="27"/>
      <c r="M135" s="133" t="s">
        <v>1</v>
      </c>
      <c r="N135" s="134" t="s">
        <v>39</v>
      </c>
      <c r="O135" s="135">
        <v>1.6919999999999999</v>
      </c>
      <c r="P135" s="135">
        <f t="shared" si="1"/>
        <v>3.3839999999999999</v>
      </c>
      <c r="Q135" s="135">
        <v>0</v>
      </c>
      <c r="R135" s="135">
        <f t="shared" si="2"/>
        <v>0</v>
      </c>
      <c r="S135" s="135">
        <v>0</v>
      </c>
      <c r="T135" s="136">
        <f t="shared" si="3"/>
        <v>0</v>
      </c>
      <c r="AR135" s="137" t="s">
        <v>206</v>
      </c>
      <c r="AT135" s="137" t="s">
        <v>144</v>
      </c>
      <c r="AU135" s="137" t="s">
        <v>143</v>
      </c>
      <c r="AY135" s="15" t="s">
        <v>141</v>
      </c>
      <c r="BE135" s="138">
        <f t="shared" si="4"/>
        <v>0</v>
      </c>
      <c r="BF135" s="138">
        <f t="shared" si="5"/>
        <v>1422</v>
      </c>
      <c r="BG135" s="138">
        <f t="shared" si="6"/>
        <v>0</v>
      </c>
      <c r="BH135" s="138">
        <f t="shared" si="7"/>
        <v>0</v>
      </c>
      <c r="BI135" s="138">
        <f t="shared" si="8"/>
        <v>0</v>
      </c>
      <c r="BJ135" s="15" t="s">
        <v>143</v>
      </c>
      <c r="BK135" s="138">
        <f t="shared" si="9"/>
        <v>1422</v>
      </c>
      <c r="BL135" s="15" t="s">
        <v>206</v>
      </c>
      <c r="BM135" s="137" t="s">
        <v>1689</v>
      </c>
    </row>
    <row r="136" spans="2:65" s="1" customFormat="1" ht="24.2" customHeight="1">
      <c r="B136" s="126"/>
      <c r="C136" s="127" t="s">
        <v>8</v>
      </c>
      <c r="D136" s="127" t="s">
        <v>144</v>
      </c>
      <c r="E136" s="128" t="s">
        <v>1688</v>
      </c>
      <c r="F136" s="129" t="s">
        <v>1687</v>
      </c>
      <c r="G136" s="130" t="s">
        <v>147</v>
      </c>
      <c r="H136" s="131">
        <v>1</v>
      </c>
      <c r="I136" s="132">
        <v>284</v>
      </c>
      <c r="J136" s="132">
        <f t="shared" si="0"/>
        <v>284</v>
      </c>
      <c r="K136" s="129" t="s">
        <v>148</v>
      </c>
      <c r="L136" s="27"/>
      <c r="M136" s="133" t="s">
        <v>1</v>
      </c>
      <c r="N136" s="134" t="s">
        <v>39</v>
      </c>
      <c r="O136" s="135">
        <v>0.67700000000000005</v>
      </c>
      <c r="P136" s="135">
        <f t="shared" si="1"/>
        <v>0.67700000000000005</v>
      </c>
      <c r="Q136" s="135">
        <v>0</v>
      </c>
      <c r="R136" s="135">
        <f t="shared" si="2"/>
        <v>0</v>
      </c>
      <c r="S136" s="135">
        <v>0</v>
      </c>
      <c r="T136" s="136">
        <f t="shared" si="3"/>
        <v>0</v>
      </c>
      <c r="AR136" s="137" t="s">
        <v>206</v>
      </c>
      <c r="AT136" s="137" t="s">
        <v>144</v>
      </c>
      <c r="AU136" s="137" t="s">
        <v>143</v>
      </c>
      <c r="AY136" s="15" t="s">
        <v>141</v>
      </c>
      <c r="BE136" s="138">
        <f t="shared" si="4"/>
        <v>0</v>
      </c>
      <c r="BF136" s="138">
        <f t="shared" si="5"/>
        <v>284</v>
      </c>
      <c r="BG136" s="138">
        <f t="shared" si="6"/>
        <v>0</v>
      </c>
      <c r="BH136" s="138">
        <f t="shared" si="7"/>
        <v>0</v>
      </c>
      <c r="BI136" s="138">
        <f t="shared" si="8"/>
        <v>0</v>
      </c>
      <c r="BJ136" s="15" t="s">
        <v>143</v>
      </c>
      <c r="BK136" s="138">
        <f t="shared" si="9"/>
        <v>284</v>
      </c>
      <c r="BL136" s="15" t="s">
        <v>206</v>
      </c>
      <c r="BM136" s="137" t="s">
        <v>1686</v>
      </c>
    </row>
    <row r="137" spans="2:65" s="1" customFormat="1" ht="21.75" customHeight="1">
      <c r="B137" s="126"/>
      <c r="C137" s="139" t="s">
        <v>206</v>
      </c>
      <c r="D137" s="139" t="s">
        <v>207</v>
      </c>
      <c r="E137" s="140" t="s">
        <v>1685</v>
      </c>
      <c r="F137" s="141" t="s">
        <v>1684</v>
      </c>
      <c r="G137" s="142" t="s">
        <v>147</v>
      </c>
      <c r="H137" s="143">
        <v>1</v>
      </c>
      <c r="I137" s="144">
        <v>505</v>
      </c>
      <c r="J137" s="144">
        <f t="shared" si="0"/>
        <v>505</v>
      </c>
      <c r="K137" s="141" t="s">
        <v>148</v>
      </c>
      <c r="L137" s="145"/>
      <c r="M137" s="146" t="s">
        <v>1</v>
      </c>
      <c r="N137" s="147" t="s">
        <v>39</v>
      </c>
      <c r="O137" s="135">
        <v>0</v>
      </c>
      <c r="P137" s="135">
        <f t="shared" si="1"/>
        <v>0</v>
      </c>
      <c r="Q137" s="135">
        <v>2.0000000000000001E-4</v>
      </c>
      <c r="R137" s="135">
        <f t="shared" si="2"/>
        <v>2.0000000000000001E-4</v>
      </c>
      <c r="S137" s="135">
        <v>0</v>
      </c>
      <c r="T137" s="136">
        <f t="shared" si="3"/>
        <v>0</v>
      </c>
      <c r="AR137" s="137" t="s">
        <v>274</v>
      </c>
      <c r="AT137" s="137" t="s">
        <v>207</v>
      </c>
      <c r="AU137" s="137" t="s">
        <v>143</v>
      </c>
      <c r="AY137" s="15" t="s">
        <v>141</v>
      </c>
      <c r="BE137" s="138">
        <f t="shared" si="4"/>
        <v>0</v>
      </c>
      <c r="BF137" s="138">
        <f t="shared" si="5"/>
        <v>505</v>
      </c>
      <c r="BG137" s="138">
        <f t="shared" si="6"/>
        <v>0</v>
      </c>
      <c r="BH137" s="138">
        <f t="shared" si="7"/>
        <v>0</v>
      </c>
      <c r="BI137" s="138">
        <f t="shared" si="8"/>
        <v>0</v>
      </c>
      <c r="BJ137" s="15" t="s">
        <v>143</v>
      </c>
      <c r="BK137" s="138">
        <f t="shared" si="9"/>
        <v>505</v>
      </c>
      <c r="BL137" s="15" t="s">
        <v>206</v>
      </c>
      <c r="BM137" s="137" t="s">
        <v>1683</v>
      </c>
    </row>
    <row r="138" spans="2:65" s="1" customFormat="1" ht="24.2" customHeight="1">
      <c r="B138" s="126"/>
      <c r="C138" s="127" t="s">
        <v>211</v>
      </c>
      <c r="D138" s="127" t="s">
        <v>144</v>
      </c>
      <c r="E138" s="128" t="s">
        <v>1682</v>
      </c>
      <c r="F138" s="129" t="s">
        <v>1681</v>
      </c>
      <c r="G138" s="130" t="s">
        <v>147</v>
      </c>
      <c r="H138" s="131">
        <v>4</v>
      </c>
      <c r="I138" s="132">
        <v>355</v>
      </c>
      <c r="J138" s="132">
        <f t="shared" si="0"/>
        <v>1420</v>
      </c>
      <c r="K138" s="129" t="s">
        <v>148</v>
      </c>
      <c r="L138" s="27"/>
      <c r="M138" s="133" t="s">
        <v>1</v>
      </c>
      <c r="N138" s="134" t="s">
        <v>39</v>
      </c>
      <c r="O138" s="135">
        <v>0.84599999999999997</v>
      </c>
      <c r="P138" s="135">
        <f t="shared" si="1"/>
        <v>3.3839999999999999</v>
      </c>
      <c r="Q138" s="135">
        <v>0</v>
      </c>
      <c r="R138" s="135">
        <f t="shared" si="2"/>
        <v>0</v>
      </c>
      <c r="S138" s="135">
        <v>0</v>
      </c>
      <c r="T138" s="136">
        <f t="shared" si="3"/>
        <v>0</v>
      </c>
      <c r="AR138" s="137" t="s">
        <v>206</v>
      </c>
      <c r="AT138" s="137" t="s">
        <v>144</v>
      </c>
      <c r="AU138" s="137" t="s">
        <v>143</v>
      </c>
      <c r="AY138" s="15" t="s">
        <v>141</v>
      </c>
      <c r="BE138" s="138">
        <f t="shared" si="4"/>
        <v>0</v>
      </c>
      <c r="BF138" s="138">
        <f t="shared" si="5"/>
        <v>1420</v>
      </c>
      <c r="BG138" s="138">
        <f t="shared" si="6"/>
        <v>0</v>
      </c>
      <c r="BH138" s="138">
        <f t="shared" si="7"/>
        <v>0</v>
      </c>
      <c r="BI138" s="138">
        <f t="shared" si="8"/>
        <v>0</v>
      </c>
      <c r="BJ138" s="15" t="s">
        <v>143</v>
      </c>
      <c r="BK138" s="138">
        <f t="shared" si="9"/>
        <v>1420</v>
      </c>
      <c r="BL138" s="15" t="s">
        <v>206</v>
      </c>
      <c r="BM138" s="137" t="s">
        <v>1680</v>
      </c>
    </row>
    <row r="139" spans="2:65" s="1" customFormat="1" ht="24.2" customHeight="1">
      <c r="B139" s="126"/>
      <c r="C139" s="139" t="s">
        <v>215</v>
      </c>
      <c r="D139" s="139" t="s">
        <v>207</v>
      </c>
      <c r="E139" s="140" t="s">
        <v>1679</v>
      </c>
      <c r="F139" s="141" t="s">
        <v>1678</v>
      </c>
      <c r="G139" s="142" t="s">
        <v>147</v>
      </c>
      <c r="H139" s="143">
        <v>4</v>
      </c>
      <c r="I139" s="144">
        <v>769</v>
      </c>
      <c r="J139" s="144">
        <f t="shared" si="0"/>
        <v>3076</v>
      </c>
      <c r="K139" s="141" t="s">
        <v>148</v>
      </c>
      <c r="L139" s="145"/>
      <c r="M139" s="146" t="s">
        <v>1</v>
      </c>
      <c r="N139" s="147" t="s">
        <v>39</v>
      </c>
      <c r="O139" s="135">
        <v>0</v>
      </c>
      <c r="P139" s="135">
        <f t="shared" si="1"/>
        <v>0</v>
      </c>
      <c r="Q139" s="135">
        <v>3.4000000000000002E-4</v>
      </c>
      <c r="R139" s="135">
        <f t="shared" si="2"/>
        <v>1.3600000000000001E-3</v>
      </c>
      <c r="S139" s="135">
        <v>0</v>
      </c>
      <c r="T139" s="136">
        <f t="shared" si="3"/>
        <v>0</v>
      </c>
      <c r="AR139" s="137" t="s">
        <v>274</v>
      </c>
      <c r="AT139" s="137" t="s">
        <v>207</v>
      </c>
      <c r="AU139" s="137" t="s">
        <v>143</v>
      </c>
      <c r="AY139" s="15" t="s">
        <v>141</v>
      </c>
      <c r="BE139" s="138">
        <f t="shared" si="4"/>
        <v>0</v>
      </c>
      <c r="BF139" s="138">
        <f t="shared" si="5"/>
        <v>3076</v>
      </c>
      <c r="BG139" s="138">
        <f t="shared" si="6"/>
        <v>0</v>
      </c>
      <c r="BH139" s="138">
        <f t="shared" si="7"/>
        <v>0</v>
      </c>
      <c r="BI139" s="138">
        <f t="shared" si="8"/>
        <v>0</v>
      </c>
      <c r="BJ139" s="15" t="s">
        <v>143</v>
      </c>
      <c r="BK139" s="138">
        <f t="shared" si="9"/>
        <v>3076</v>
      </c>
      <c r="BL139" s="15" t="s">
        <v>206</v>
      </c>
      <c r="BM139" s="137" t="s">
        <v>1677</v>
      </c>
    </row>
    <row r="140" spans="2:65" s="1" customFormat="1" ht="33" customHeight="1">
      <c r="B140" s="126"/>
      <c r="C140" s="127" t="s">
        <v>217</v>
      </c>
      <c r="D140" s="127" t="s">
        <v>144</v>
      </c>
      <c r="E140" s="128" t="s">
        <v>1676</v>
      </c>
      <c r="F140" s="129" t="s">
        <v>1675</v>
      </c>
      <c r="G140" s="130" t="s">
        <v>147</v>
      </c>
      <c r="H140" s="131">
        <v>26</v>
      </c>
      <c r="I140" s="132">
        <v>176</v>
      </c>
      <c r="J140" s="132">
        <f t="shared" si="0"/>
        <v>4576</v>
      </c>
      <c r="K140" s="129" t="s">
        <v>148</v>
      </c>
      <c r="L140" s="27"/>
      <c r="M140" s="133" t="s">
        <v>1</v>
      </c>
      <c r="N140" s="134" t="s">
        <v>39</v>
      </c>
      <c r="O140" s="135">
        <v>0.42</v>
      </c>
      <c r="P140" s="135">
        <f t="shared" si="1"/>
        <v>10.92</v>
      </c>
      <c r="Q140" s="135">
        <v>0</v>
      </c>
      <c r="R140" s="135">
        <f t="shared" si="2"/>
        <v>0</v>
      </c>
      <c r="S140" s="135">
        <v>0</v>
      </c>
      <c r="T140" s="136">
        <f t="shared" si="3"/>
        <v>0</v>
      </c>
      <c r="AR140" s="137" t="s">
        <v>206</v>
      </c>
      <c r="AT140" s="137" t="s">
        <v>144</v>
      </c>
      <c r="AU140" s="137" t="s">
        <v>143</v>
      </c>
      <c r="AY140" s="15" t="s">
        <v>141</v>
      </c>
      <c r="BE140" s="138">
        <f t="shared" si="4"/>
        <v>0</v>
      </c>
      <c r="BF140" s="138">
        <f t="shared" si="5"/>
        <v>4576</v>
      </c>
      <c r="BG140" s="138">
        <f t="shared" si="6"/>
        <v>0</v>
      </c>
      <c r="BH140" s="138">
        <f t="shared" si="7"/>
        <v>0</v>
      </c>
      <c r="BI140" s="138">
        <f t="shared" si="8"/>
        <v>0</v>
      </c>
      <c r="BJ140" s="15" t="s">
        <v>143</v>
      </c>
      <c r="BK140" s="138">
        <f t="shared" si="9"/>
        <v>4576</v>
      </c>
      <c r="BL140" s="15" t="s">
        <v>206</v>
      </c>
      <c r="BM140" s="137" t="s">
        <v>1674</v>
      </c>
    </row>
    <row r="141" spans="2:65" s="1" customFormat="1" ht="33" customHeight="1">
      <c r="B141" s="126"/>
      <c r="C141" s="127" t="s">
        <v>221</v>
      </c>
      <c r="D141" s="127" t="s">
        <v>144</v>
      </c>
      <c r="E141" s="128" t="s">
        <v>1673</v>
      </c>
      <c r="F141" s="129" t="s">
        <v>1672</v>
      </c>
      <c r="G141" s="130" t="s">
        <v>147</v>
      </c>
      <c r="H141" s="131">
        <v>3</v>
      </c>
      <c r="I141" s="132">
        <v>189</v>
      </c>
      <c r="J141" s="132">
        <f t="shared" si="0"/>
        <v>567</v>
      </c>
      <c r="K141" s="129" t="s">
        <v>148</v>
      </c>
      <c r="L141" s="27"/>
      <c r="M141" s="133" t="s">
        <v>1</v>
      </c>
      <c r="N141" s="134" t="s">
        <v>39</v>
      </c>
      <c r="O141" s="135">
        <v>0.45</v>
      </c>
      <c r="P141" s="135">
        <f t="shared" si="1"/>
        <v>1.35</v>
      </c>
      <c r="Q141" s="135">
        <v>0</v>
      </c>
      <c r="R141" s="135">
        <f t="shared" si="2"/>
        <v>0</v>
      </c>
      <c r="S141" s="135">
        <v>0</v>
      </c>
      <c r="T141" s="136">
        <f t="shared" si="3"/>
        <v>0</v>
      </c>
      <c r="AR141" s="137" t="s">
        <v>206</v>
      </c>
      <c r="AT141" s="137" t="s">
        <v>144</v>
      </c>
      <c r="AU141" s="137" t="s">
        <v>143</v>
      </c>
      <c r="AY141" s="15" t="s">
        <v>141</v>
      </c>
      <c r="BE141" s="138">
        <f t="shared" si="4"/>
        <v>0</v>
      </c>
      <c r="BF141" s="138">
        <f t="shared" si="5"/>
        <v>567</v>
      </c>
      <c r="BG141" s="138">
        <f t="shared" si="6"/>
        <v>0</v>
      </c>
      <c r="BH141" s="138">
        <f t="shared" si="7"/>
        <v>0</v>
      </c>
      <c r="BI141" s="138">
        <f t="shared" si="8"/>
        <v>0</v>
      </c>
      <c r="BJ141" s="15" t="s">
        <v>143</v>
      </c>
      <c r="BK141" s="138">
        <f t="shared" si="9"/>
        <v>567</v>
      </c>
      <c r="BL141" s="15" t="s">
        <v>206</v>
      </c>
      <c r="BM141" s="137" t="s">
        <v>1671</v>
      </c>
    </row>
    <row r="142" spans="2:65" s="1" customFormat="1" ht="16.5" customHeight="1">
      <c r="B142" s="126"/>
      <c r="C142" s="139" t="s">
        <v>7</v>
      </c>
      <c r="D142" s="139" t="s">
        <v>207</v>
      </c>
      <c r="E142" s="140" t="s">
        <v>1670</v>
      </c>
      <c r="F142" s="141" t="s">
        <v>1669</v>
      </c>
      <c r="G142" s="142" t="s">
        <v>147</v>
      </c>
      <c r="H142" s="143">
        <v>3</v>
      </c>
      <c r="I142" s="144">
        <v>421</v>
      </c>
      <c r="J142" s="144">
        <f t="shared" si="0"/>
        <v>1263</v>
      </c>
      <c r="K142" s="141" t="s">
        <v>148</v>
      </c>
      <c r="L142" s="145"/>
      <c r="M142" s="146" t="s">
        <v>1</v>
      </c>
      <c r="N142" s="147" t="s">
        <v>39</v>
      </c>
      <c r="O142" s="135">
        <v>0</v>
      </c>
      <c r="P142" s="135">
        <f t="shared" si="1"/>
        <v>0</v>
      </c>
      <c r="Q142" s="135">
        <v>2.9999999999999997E-4</v>
      </c>
      <c r="R142" s="135">
        <f t="shared" si="2"/>
        <v>8.9999999999999998E-4</v>
      </c>
      <c r="S142" s="135">
        <v>0</v>
      </c>
      <c r="T142" s="136">
        <f t="shared" si="3"/>
        <v>0</v>
      </c>
      <c r="AR142" s="137" t="s">
        <v>274</v>
      </c>
      <c r="AT142" s="137" t="s">
        <v>207</v>
      </c>
      <c r="AU142" s="137" t="s">
        <v>143</v>
      </c>
      <c r="AY142" s="15" t="s">
        <v>141</v>
      </c>
      <c r="BE142" s="138">
        <f t="shared" si="4"/>
        <v>0</v>
      </c>
      <c r="BF142" s="138">
        <f t="shared" si="5"/>
        <v>1263</v>
      </c>
      <c r="BG142" s="138">
        <f t="shared" si="6"/>
        <v>0</v>
      </c>
      <c r="BH142" s="138">
        <f t="shared" si="7"/>
        <v>0</v>
      </c>
      <c r="BI142" s="138">
        <f t="shared" si="8"/>
        <v>0</v>
      </c>
      <c r="BJ142" s="15" t="s">
        <v>143</v>
      </c>
      <c r="BK142" s="138">
        <f t="shared" si="9"/>
        <v>1263</v>
      </c>
      <c r="BL142" s="15" t="s">
        <v>206</v>
      </c>
      <c r="BM142" s="137" t="s">
        <v>1668</v>
      </c>
    </row>
    <row r="143" spans="2:65" s="1" customFormat="1" ht="37.9" customHeight="1">
      <c r="B143" s="126"/>
      <c r="C143" s="127" t="s">
        <v>228</v>
      </c>
      <c r="D143" s="127" t="s">
        <v>144</v>
      </c>
      <c r="E143" s="128" t="s">
        <v>1667</v>
      </c>
      <c r="F143" s="129" t="s">
        <v>1666</v>
      </c>
      <c r="G143" s="130" t="s">
        <v>193</v>
      </c>
      <c r="H143" s="131">
        <v>10</v>
      </c>
      <c r="I143" s="132">
        <v>538</v>
      </c>
      <c r="J143" s="132">
        <f t="shared" si="0"/>
        <v>5380</v>
      </c>
      <c r="K143" s="129" t="s">
        <v>148</v>
      </c>
      <c r="L143" s="27"/>
      <c r="M143" s="133" t="s">
        <v>1</v>
      </c>
      <c r="N143" s="134" t="s">
        <v>39</v>
      </c>
      <c r="O143" s="135">
        <v>0.434</v>
      </c>
      <c r="P143" s="135">
        <f t="shared" si="1"/>
        <v>4.34</v>
      </c>
      <c r="Q143" s="135">
        <v>1.67E-3</v>
      </c>
      <c r="R143" s="135">
        <f t="shared" si="2"/>
        <v>1.67E-2</v>
      </c>
      <c r="S143" s="135">
        <v>0</v>
      </c>
      <c r="T143" s="136">
        <f t="shared" si="3"/>
        <v>0</v>
      </c>
      <c r="AR143" s="137" t="s">
        <v>206</v>
      </c>
      <c r="AT143" s="137" t="s">
        <v>144</v>
      </c>
      <c r="AU143" s="137" t="s">
        <v>143</v>
      </c>
      <c r="AY143" s="15" t="s">
        <v>141</v>
      </c>
      <c r="BE143" s="138">
        <f t="shared" si="4"/>
        <v>0</v>
      </c>
      <c r="BF143" s="138">
        <f t="shared" si="5"/>
        <v>5380</v>
      </c>
      <c r="BG143" s="138">
        <f t="shared" si="6"/>
        <v>0</v>
      </c>
      <c r="BH143" s="138">
        <f t="shared" si="7"/>
        <v>0</v>
      </c>
      <c r="BI143" s="138">
        <f t="shared" si="8"/>
        <v>0</v>
      </c>
      <c r="BJ143" s="15" t="s">
        <v>143</v>
      </c>
      <c r="BK143" s="138">
        <f t="shared" si="9"/>
        <v>5380</v>
      </c>
      <c r="BL143" s="15" t="s">
        <v>206</v>
      </c>
      <c r="BM143" s="137" t="s">
        <v>1665</v>
      </c>
    </row>
    <row r="144" spans="2:65" s="1" customFormat="1" ht="37.9" customHeight="1">
      <c r="B144" s="126"/>
      <c r="C144" s="127" t="s">
        <v>232</v>
      </c>
      <c r="D144" s="127" t="s">
        <v>144</v>
      </c>
      <c r="E144" s="128" t="s">
        <v>1664</v>
      </c>
      <c r="F144" s="129" t="s">
        <v>1663</v>
      </c>
      <c r="G144" s="130" t="s">
        <v>193</v>
      </c>
      <c r="H144" s="131">
        <v>230</v>
      </c>
      <c r="I144" s="132">
        <v>832</v>
      </c>
      <c r="J144" s="132">
        <f t="shared" si="0"/>
        <v>191360</v>
      </c>
      <c r="K144" s="129" t="s">
        <v>148</v>
      </c>
      <c r="L144" s="27"/>
      <c r="M144" s="133" t="s">
        <v>1</v>
      </c>
      <c r="N144" s="134" t="s">
        <v>39</v>
      </c>
      <c r="O144" s="135">
        <v>0.52300000000000002</v>
      </c>
      <c r="P144" s="135">
        <f t="shared" si="1"/>
        <v>120.29</v>
      </c>
      <c r="Q144" s="135">
        <v>3.4399999999999999E-3</v>
      </c>
      <c r="R144" s="135">
        <f t="shared" si="2"/>
        <v>0.79120000000000001</v>
      </c>
      <c r="S144" s="135">
        <v>0</v>
      </c>
      <c r="T144" s="136">
        <f t="shared" si="3"/>
        <v>0</v>
      </c>
      <c r="AR144" s="137" t="s">
        <v>206</v>
      </c>
      <c r="AT144" s="137" t="s">
        <v>144</v>
      </c>
      <c r="AU144" s="137" t="s">
        <v>143</v>
      </c>
      <c r="AY144" s="15" t="s">
        <v>141</v>
      </c>
      <c r="BE144" s="138">
        <f t="shared" si="4"/>
        <v>0</v>
      </c>
      <c r="BF144" s="138">
        <f t="shared" si="5"/>
        <v>191360</v>
      </c>
      <c r="BG144" s="138">
        <f t="shared" si="6"/>
        <v>0</v>
      </c>
      <c r="BH144" s="138">
        <f t="shared" si="7"/>
        <v>0</v>
      </c>
      <c r="BI144" s="138">
        <f t="shared" si="8"/>
        <v>0</v>
      </c>
      <c r="BJ144" s="15" t="s">
        <v>143</v>
      </c>
      <c r="BK144" s="138">
        <f t="shared" si="9"/>
        <v>191360</v>
      </c>
      <c r="BL144" s="15" t="s">
        <v>206</v>
      </c>
      <c r="BM144" s="137" t="s">
        <v>1662</v>
      </c>
    </row>
    <row r="145" spans="2:65" s="1" customFormat="1" ht="37.9" customHeight="1">
      <c r="B145" s="126"/>
      <c r="C145" s="127" t="s">
        <v>236</v>
      </c>
      <c r="D145" s="127" t="s">
        <v>144</v>
      </c>
      <c r="E145" s="128" t="s">
        <v>1661</v>
      </c>
      <c r="F145" s="129" t="s">
        <v>1660</v>
      </c>
      <c r="G145" s="130" t="s">
        <v>147</v>
      </c>
      <c r="H145" s="131">
        <v>10</v>
      </c>
      <c r="I145" s="132">
        <v>276</v>
      </c>
      <c r="J145" s="132">
        <f t="shared" si="0"/>
        <v>2760</v>
      </c>
      <c r="K145" s="129" t="s">
        <v>148</v>
      </c>
      <c r="L145" s="27"/>
      <c r="M145" s="133" t="s">
        <v>1</v>
      </c>
      <c r="N145" s="134" t="s">
        <v>39</v>
      </c>
      <c r="O145" s="135">
        <v>0.65700000000000003</v>
      </c>
      <c r="P145" s="135">
        <f t="shared" si="1"/>
        <v>6.57</v>
      </c>
      <c r="Q145" s="135">
        <v>0</v>
      </c>
      <c r="R145" s="135">
        <f t="shared" si="2"/>
        <v>0</v>
      </c>
      <c r="S145" s="135">
        <v>0</v>
      </c>
      <c r="T145" s="136">
        <f t="shared" si="3"/>
        <v>0</v>
      </c>
      <c r="AR145" s="137" t="s">
        <v>206</v>
      </c>
      <c r="AT145" s="137" t="s">
        <v>144</v>
      </c>
      <c r="AU145" s="137" t="s">
        <v>143</v>
      </c>
      <c r="AY145" s="15" t="s">
        <v>141</v>
      </c>
      <c r="BE145" s="138">
        <f t="shared" si="4"/>
        <v>0</v>
      </c>
      <c r="BF145" s="138">
        <f t="shared" si="5"/>
        <v>2760</v>
      </c>
      <c r="BG145" s="138">
        <f t="shared" si="6"/>
        <v>0</v>
      </c>
      <c r="BH145" s="138">
        <f t="shared" si="7"/>
        <v>0</v>
      </c>
      <c r="BI145" s="138">
        <f t="shared" si="8"/>
        <v>0</v>
      </c>
      <c r="BJ145" s="15" t="s">
        <v>143</v>
      </c>
      <c r="BK145" s="138">
        <f t="shared" si="9"/>
        <v>2760</v>
      </c>
      <c r="BL145" s="15" t="s">
        <v>206</v>
      </c>
      <c r="BM145" s="137" t="s">
        <v>1659</v>
      </c>
    </row>
    <row r="146" spans="2:65" s="1" customFormat="1" ht="16.5" customHeight="1">
      <c r="B146" s="126"/>
      <c r="C146" s="139" t="s">
        <v>240</v>
      </c>
      <c r="D146" s="139" t="s">
        <v>207</v>
      </c>
      <c r="E146" s="140" t="s">
        <v>1658</v>
      </c>
      <c r="F146" s="141" t="s">
        <v>1657</v>
      </c>
      <c r="G146" s="142" t="s">
        <v>147</v>
      </c>
      <c r="H146" s="143">
        <v>3</v>
      </c>
      <c r="I146" s="144">
        <v>1850</v>
      </c>
      <c r="J146" s="144">
        <f t="shared" si="0"/>
        <v>5550</v>
      </c>
      <c r="K146" s="141" t="s">
        <v>148</v>
      </c>
      <c r="L146" s="145"/>
      <c r="M146" s="146" t="s">
        <v>1</v>
      </c>
      <c r="N146" s="147" t="s">
        <v>39</v>
      </c>
      <c r="O146" s="135">
        <v>0</v>
      </c>
      <c r="P146" s="135">
        <f t="shared" si="1"/>
        <v>0</v>
      </c>
      <c r="Q146" s="135">
        <v>5.0000000000000001E-4</v>
      </c>
      <c r="R146" s="135">
        <f t="shared" si="2"/>
        <v>1.5E-3</v>
      </c>
      <c r="S146" s="135">
        <v>0</v>
      </c>
      <c r="T146" s="136">
        <f t="shared" si="3"/>
        <v>0</v>
      </c>
      <c r="AR146" s="137" t="s">
        <v>274</v>
      </c>
      <c r="AT146" s="137" t="s">
        <v>207</v>
      </c>
      <c r="AU146" s="137" t="s">
        <v>143</v>
      </c>
      <c r="AY146" s="15" t="s">
        <v>141</v>
      </c>
      <c r="BE146" s="138">
        <f t="shared" si="4"/>
        <v>0</v>
      </c>
      <c r="BF146" s="138">
        <f t="shared" si="5"/>
        <v>5550</v>
      </c>
      <c r="BG146" s="138">
        <f t="shared" si="6"/>
        <v>0</v>
      </c>
      <c r="BH146" s="138">
        <f t="shared" si="7"/>
        <v>0</v>
      </c>
      <c r="BI146" s="138">
        <f t="shared" si="8"/>
        <v>0</v>
      </c>
      <c r="BJ146" s="15" t="s">
        <v>143</v>
      </c>
      <c r="BK146" s="138">
        <f t="shared" si="9"/>
        <v>5550</v>
      </c>
      <c r="BL146" s="15" t="s">
        <v>206</v>
      </c>
      <c r="BM146" s="137" t="s">
        <v>1656</v>
      </c>
    </row>
    <row r="147" spans="2:65" s="1" customFormat="1" ht="37.9" customHeight="1">
      <c r="B147" s="126"/>
      <c r="C147" s="127" t="s">
        <v>244</v>
      </c>
      <c r="D147" s="127" t="s">
        <v>144</v>
      </c>
      <c r="E147" s="128" t="s">
        <v>1655</v>
      </c>
      <c r="F147" s="129" t="s">
        <v>1654</v>
      </c>
      <c r="G147" s="130" t="s">
        <v>193</v>
      </c>
      <c r="H147" s="131">
        <v>60</v>
      </c>
      <c r="I147" s="132">
        <v>180</v>
      </c>
      <c r="J147" s="132">
        <f t="shared" si="0"/>
        <v>10800</v>
      </c>
      <c r="K147" s="129" t="s">
        <v>148</v>
      </c>
      <c r="L147" s="27"/>
      <c r="M147" s="133" t="s">
        <v>1</v>
      </c>
      <c r="N147" s="134" t="s">
        <v>39</v>
      </c>
      <c r="O147" s="135">
        <v>0.42799999999999999</v>
      </c>
      <c r="P147" s="135">
        <f t="shared" si="1"/>
        <v>25.68</v>
      </c>
      <c r="Q147" s="135">
        <v>0</v>
      </c>
      <c r="R147" s="135">
        <f t="shared" si="2"/>
        <v>0</v>
      </c>
      <c r="S147" s="135">
        <v>0</v>
      </c>
      <c r="T147" s="136">
        <f t="shared" si="3"/>
        <v>0</v>
      </c>
      <c r="AR147" s="137" t="s">
        <v>206</v>
      </c>
      <c r="AT147" s="137" t="s">
        <v>144</v>
      </c>
      <c r="AU147" s="137" t="s">
        <v>143</v>
      </c>
      <c r="AY147" s="15" t="s">
        <v>141</v>
      </c>
      <c r="BE147" s="138">
        <f t="shared" si="4"/>
        <v>0</v>
      </c>
      <c r="BF147" s="138">
        <f t="shared" si="5"/>
        <v>10800</v>
      </c>
      <c r="BG147" s="138">
        <f t="shared" si="6"/>
        <v>0</v>
      </c>
      <c r="BH147" s="138">
        <f t="shared" si="7"/>
        <v>0</v>
      </c>
      <c r="BI147" s="138">
        <f t="shared" si="8"/>
        <v>0</v>
      </c>
      <c r="BJ147" s="15" t="s">
        <v>143</v>
      </c>
      <c r="BK147" s="138">
        <f t="shared" si="9"/>
        <v>10800</v>
      </c>
      <c r="BL147" s="15" t="s">
        <v>206</v>
      </c>
      <c r="BM147" s="137" t="s">
        <v>1653</v>
      </c>
    </row>
    <row r="148" spans="2:65" s="1" customFormat="1" ht="24.2" customHeight="1">
      <c r="B148" s="126"/>
      <c r="C148" s="139" t="s">
        <v>249</v>
      </c>
      <c r="D148" s="139" t="s">
        <v>207</v>
      </c>
      <c r="E148" s="140" t="s">
        <v>1652</v>
      </c>
      <c r="F148" s="141" t="s">
        <v>1651</v>
      </c>
      <c r="G148" s="142" t="s">
        <v>147</v>
      </c>
      <c r="H148" s="143">
        <v>6</v>
      </c>
      <c r="I148" s="144">
        <v>514</v>
      </c>
      <c r="J148" s="144">
        <f t="shared" si="0"/>
        <v>3084</v>
      </c>
      <c r="K148" s="141" t="s">
        <v>148</v>
      </c>
      <c r="L148" s="145"/>
      <c r="M148" s="146" t="s">
        <v>1</v>
      </c>
      <c r="N148" s="147" t="s">
        <v>39</v>
      </c>
      <c r="O148" s="135">
        <v>0</v>
      </c>
      <c r="P148" s="135">
        <f t="shared" si="1"/>
        <v>0</v>
      </c>
      <c r="Q148" s="135">
        <v>5.3E-3</v>
      </c>
      <c r="R148" s="135">
        <f t="shared" si="2"/>
        <v>3.1800000000000002E-2</v>
      </c>
      <c r="S148" s="135">
        <v>0</v>
      </c>
      <c r="T148" s="136">
        <f t="shared" si="3"/>
        <v>0</v>
      </c>
      <c r="AR148" s="137" t="s">
        <v>274</v>
      </c>
      <c r="AT148" s="137" t="s">
        <v>207</v>
      </c>
      <c r="AU148" s="137" t="s">
        <v>143</v>
      </c>
      <c r="AY148" s="15" t="s">
        <v>141</v>
      </c>
      <c r="BE148" s="138">
        <f t="shared" si="4"/>
        <v>0</v>
      </c>
      <c r="BF148" s="138">
        <f t="shared" si="5"/>
        <v>3084</v>
      </c>
      <c r="BG148" s="138">
        <f t="shared" si="6"/>
        <v>0</v>
      </c>
      <c r="BH148" s="138">
        <f t="shared" si="7"/>
        <v>0</v>
      </c>
      <c r="BI148" s="138">
        <f t="shared" si="8"/>
        <v>0</v>
      </c>
      <c r="BJ148" s="15" t="s">
        <v>143</v>
      </c>
      <c r="BK148" s="138">
        <f t="shared" si="9"/>
        <v>3084</v>
      </c>
      <c r="BL148" s="15" t="s">
        <v>206</v>
      </c>
      <c r="BM148" s="137" t="s">
        <v>1650</v>
      </c>
    </row>
    <row r="149" spans="2:65" s="12" customFormat="1">
      <c r="B149" s="148"/>
      <c r="D149" s="149" t="s">
        <v>363</v>
      </c>
      <c r="F149" s="150" t="s">
        <v>1735</v>
      </c>
      <c r="H149" s="151">
        <v>6</v>
      </c>
      <c r="L149" s="148"/>
      <c r="M149" s="152"/>
      <c r="T149" s="153"/>
      <c r="AT149" s="154" t="s">
        <v>363</v>
      </c>
      <c r="AU149" s="154" t="s">
        <v>143</v>
      </c>
      <c r="AV149" s="12" t="s">
        <v>143</v>
      </c>
      <c r="AW149" s="12" t="s">
        <v>3</v>
      </c>
      <c r="AX149" s="12" t="s">
        <v>81</v>
      </c>
      <c r="AY149" s="154" t="s">
        <v>141</v>
      </c>
    </row>
    <row r="150" spans="2:65" s="1" customFormat="1" ht="37.9" customHeight="1">
      <c r="B150" s="126"/>
      <c r="C150" s="127" t="s">
        <v>253</v>
      </c>
      <c r="D150" s="127" t="s">
        <v>144</v>
      </c>
      <c r="E150" s="128" t="s">
        <v>1648</v>
      </c>
      <c r="F150" s="129" t="s">
        <v>1647</v>
      </c>
      <c r="G150" s="130" t="s">
        <v>193</v>
      </c>
      <c r="H150" s="131">
        <v>10</v>
      </c>
      <c r="I150" s="132">
        <v>255</v>
      </c>
      <c r="J150" s="132">
        <f t="shared" ref="J150:J166" si="10">ROUND(I150*H150,2)</f>
        <v>2550</v>
      </c>
      <c r="K150" s="129" t="s">
        <v>148</v>
      </c>
      <c r="L150" s="27"/>
      <c r="M150" s="133" t="s">
        <v>1</v>
      </c>
      <c r="N150" s="134" t="s">
        <v>39</v>
      </c>
      <c r="O150" s="135">
        <v>0.28000000000000003</v>
      </c>
      <c r="P150" s="135">
        <f t="shared" ref="P150:P166" si="11">O150*H150</f>
        <v>2.8000000000000003</v>
      </c>
      <c r="Q150" s="135">
        <v>5.8E-4</v>
      </c>
      <c r="R150" s="135">
        <f t="shared" ref="R150:R166" si="12">Q150*H150</f>
        <v>5.7999999999999996E-3</v>
      </c>
      <c r="S150" s="135">
        <v>0</v>
      </c>
      <c r="T150" s="136">
        <f t="shared" ref="T150:T166" si="13">S150*H150</f>
        <v>0</v>
      </c>
      <c r="AR150" s="137" t="s">
        <v>206</v>
      </c>
      <c r="AT150" s="137" t="s">
        <v>144</v>
      </c>
      <c r="AU150" s="137" t="s">
        <v>143</v>
      </c>
      <c r="AY150" s="15" t="s">
        <v>141</v>
      </c>
      <c r="BE150" s="138">
        <f t="shared" ref="BE150:BE166" si="14">IF(N150="základní",J150,0)</f>
        <v>0</v>
      </c>
      <c r="BF150" s="138">
        <f t="shared" ref="BF150:BF166" si="15">IF(N150="snížená",J150,0)</f>
        <v>2550</v>
      </c>
      <c r="BG150" s="138">
        <f t="shared" ref="BG150:BG166" si="16">IF(N150="zákl. přenesená",J150,0)</f>
        <v>0</v>
      </c>
      <c r="BH150" s="138">
        <f t="shared" ref="BH150:BH166" si="17">IF(N150="sníž. přenesená",J150,0)</f>
        <v>0</v>
      </c>
      <c r="BI150" s="138">
        <f t="shared" ref="BI150:BI166" si="18">IF(N150="nulová",J150,0)</f>
        <v>0</v>
      </c>
      <c r="BJ150" s="15" t="s">
        <v>143</v>
      </c>
      <c r="BK150" s="138">
        <f t="shared" ref="BK150:BK166" si="19">ROUND(I150*H150,2)</f>
        <v>2550</v>
      </c>
      <c r="BL150" s="15" t="s">
        <v>206</v>
      </c>
      <c r="BM150" s="137" t="s">
        <v>1646</v>
      </c>
    </row>
    <row r="151" spans="2:65" s="1" customFormat="1" ht="37.9" customHeight="1">
      <c r="B151" s="126"/>
      <c r="C151" s="127" t="s">
        <v>257</v>
      </c>
      <c r="D151" s="127" t="s">
        <v>144</v>
      </c>
      <c r="E151" s="128" t="s">
        <v>1645</v>
      </c>
      <c r="F151" s="129" t="s">
        <v>1644</v>
      </c>
      <c r="G151" s="130" t="s">
        <v>193</v>
      </c>
      <c r="H151" s="131">
        <v>230</v>
      </c>
      <c r="I151" s="132">
        <v>281</v>
      </c>
      <c r="J151" s="132">
        <f t="shared" si="10"/>
        <v>64630</v>
      </c>
      <c r="K151" s="129" t="s">
        <v>148</v>
      </c>
      <c r="L151" s="27"/>
      <c r="M151" s="133" t="s">
        <v>1</v>
      </c>
      <c r="N151" s="134" t="s">
        <v>39</v>
      </c>
      <c r="O151" s="135">
        <v>0.28000000000000003</v>
      </c>
      <c r="P151" s="135">
        <f t="shared" si="11"/>
        <v>64.400000000000006</v>
      </c>
      <c r="Q151" s="135">
        <v>6.9999999999999999E-4</v>
      </c>
      <c r="R151" s="135">
        <f t="shared" si="12"/>
        <v>0.161</v>
      </c>
      <c r="S151" s="135">
        <v>0</v>
      </c>
      <c r="T151" s="136">
        <f t="shared" si="13"/>
        <v>0</v>
      </c>
      <c r="AR151" s="137" t="s">
        <v>206</v>
      </c>
      <c r="AT151" s="137" t="s">
        <v>144</v>
      </c>
      <c r="AU151" s="137" t="s">
        <v>143</v>
      </c>
      <c r="AY151" s="15" t="s">
        <v>141</v>
      </c>
      <c r="BE151" s="138">
        <f t="shared" si="14"/>
        <v>0</v>
      </c>
      <c r="BF151" s="138">
        <f t="shared" si="15"/>
        <v>64630</v>
      </c>
      <c r="BG151" s="138">
        <f t="shared" si="16"/>
        <v>0</v>
      </c>
      <c r="BH151" s="138">
        <f t="shared" si="17"/>
        <v>0</v>
      </c>
      <c r="BI151" s="138">
        <f t="shared" si="18"/>
        <v>0</v>
      </c>
      <c r="BJ151" s="15" t="s">
        <v>143</v>
      </c>
      <c r="BK151" s="138">
        <f t="shared" si="19"/>
        <v>64630</v>
      </c>
      <c r="BL151" s="15" t="s">
        <v>206</v>
      </c>
      <c r="BM151" s="137" t="s">
        <v>1643</v>
      </c>
    </row>
    <row r="152" spans="2:65" s="1" customFormat="1" ht="33" customHeight="1">
      <c r="B152" s="126"/>
      <c r="C152" s="127" t="s">
        <v>261</v>
      </c>
      <c r="D152" s="127" t="s">
        <v>144</v>
      </c>
      <c r="E152" s="128" t="s">
        <v>1642</v>
      </c>
      <c r="F152" s="129" t="s">
        <v>1641</v>
      </c>
      <c r="G152" s="130" t="s">
        <v>193</v>
      </c>
      <c r="H152" s="131">
        <v>60</v>
      </c>
      <c r="I152" s="132">
        <v>154</v>
      </c>
      <c r="J152" s="132">
        <f t="shared" si="10"/>
        <v>9240</v>
      </c>
      <c r="K152" s="129" t="s">
        <v>148</v>
      </c>
      <c r="L152" s="27"/>
      <c r="M152" s="133" t="s">
        <v>1</v>
      </c>
      <c r="N152" s="134" t="s">
        <v>39</v>
      </c>
      <c r="O152" s="135">
        <v>0.24</v>
      </c>
      <c r="P152" s="135">
        <f t="shared" si="11"/>
        <v>14.399999999999999</v>
      </c>
      <c r="Q152" s="135">
        <v>2.2000000000000001E-4</v>
      </c>
      <c r="R152" s="135">
        <f t="shared" si="12"/>
        <v>1.32E-2</v>
      </c>
      <c r="S152" s="135">
        <v>0</v>
      </c>
      <c r="T152" s="136">
        <f t="shared" si="13"/>
        <v>0</v>
      </c>
      <c r="AR152" s="137" t="s">
        <v>206</v>
      </c>
      <c r="AT152" s="137" t="s">
        <v>144</v>
      </c>
      <c r="AU152" s="137" t="s">
        <v>143</v>
      </c>
      <c r="AY152" s="15" t="s">
        <v>141</v>
      </c>
      <c r="BE152" s="138">
        <f t="shared" si="14"/>
        <v>0</v>
      </c>
      <c r="BF152" s="138">
        <f t="shared" si="15"/>
        <v>9240</v>
      </c>
      <c r="BG152" s="138">
        <f t="shared" si="16"/>
        <v>0</v>
      </c>
      <c r="BH152" s="138">
        <f t="shared" si="17"/>
        <v>0</v>
      </c>
      <c r="BI152" s="138">
        <f t="shared" si="18"/>
        <v>0</v>
      </c>
      <c r="BJ152" s="15" t="s">
        <v>143</v>
      </c>
      <c r="BK152" s="138">
        <f t="shared" si="19"/>
        <v>9240</v>
      </c>
      <c r="BL152" s="15" t="s">
        <v>206</v>
      </c>
      <c r="BM152" s="137" t="s">
        <v>1640</v>
      </c>
    </row>
    <row r="153" spans="2:65" s="1" customFormat="1" ht="37.9" customHeight="1">
      <c r="B153" s="126"/>
      <c r="C153" s="127" t="s">
        <v>270</v>
      </c>
      <c r="D153" s="127" t="s">
        <v>144</v>
      </c>
      <c r="E153" s="128" t="s">
        <v>1639</v>
      </c>
      <c r="F153" s="129" t="s">
        <v>1638</v>
      </c>
      <c r="G153" s="130" t="s">
        <v>147</v>
      </c>
      <c r="H153" s="131">
        <v>2</v>
      </c>
      <c r="I153" s="132">
        <v>2340</v>
      </c>
      <c r="J153" s="132">
        <f t="shared" si="10"/>
        <v>4680</v>
      </c>
      <c r="K153" s="129" t="s">
        <v>148</v>
      </c>
      <c r="L153" s="27"/>
      <c r="M153" s="133" t="s">
        <v>1</v>
      </c>
      <c r="N153" s="134" t="s">
        <v>39</v>
      </c>
      <c r="O153" s="135">
        <v>4</v>
      </c>
      <c r="P153" s="135">
        <f t="shared" si="11"/>
        <v>8</v>
      </c>
      <c r="Q153" s="135">
        <v>0</v>
      </c>
      <c r="R153" s="135">
        <f t="shared" si="12"/>
        <v>0</v>
      </c>
      <c r="S153" s="135">
        <v>0</v>
      </c>
      <c r="T153" s="136">
        <f t="shared" si="13"/>
        <v>0</v>
      </c>
      <c r="AR153" s="137" t="s">
        <v>206</v>
      </c>
      <c r="AT153" s="137" t="s">
        <v>144</v>
      </c>
      <c r="AU153" s="137" t="s">
        <v>143</v>
      </c>
      <c r="AY153" s="15" t="s">
        <v>141</v>
      </c>
      <c r="BE153" s="138">
        <f t="shared" si="14"/>
        <v>0</v>
      </c>
      <c r="BF153" s="138">
        <f t="shared" si="15"/>
        <v>4680</v>
      </c>
      <c r="BG153" s="138">
        <f t="shared" si="16"/>
        <v>0</v>
      </c>
      <c r="BH153" s="138">
        <f t="shared" si="17"/>
        <v>0</v>
      </c>
      <c r="BI153" s="138">
        <f t="shared" si="18"/>
        <v>0</v>
      </c>
      <c r="BJ153" s="15" t="s">
        <v>143</v>
      </c>
      <c r="BK153" s="138">
        <f t="shared" si="19"/>
        <v>4680</v>
      </c>
      <c r="BL153" s="15" t="s">
        <v>206</v>
      </c>
      <c r="BM153" s="137" t="s">
        <v>1637</v>
      </c>
    </row>
    <row r="154" spans="2:65" s="1" customFormat="1" ht="24.2" customHeight="1">
      <c r="B154" s="126"/>
      <c r="C154" s="127" t="s">
        <v>274</v>
      </c>
      <c r="D154" s="127" t="s">
        <v>144</v>
      </c>
      <c r="E154" s="128" t="s">
        <v>1636</v>
      </c>
      <c r="F154" s="129" t="s">
        <v>1635</v>
      </c>
      <c r="G154" s="130" t="s">
        <v>193</v>
      </c>
      <c r="H154" s="131">
        <v>125</v>
      </c>
      <c r="I154" s="132">
        <v>63</v>
      </c>
      <c r="J154" s="132">
        <f t="shared" si="10"/>
        <v>7875</v>
      </c>
      <c r="K154" s="129" t="s">
        <v>148</v>
      </c>
      <c r="L154" s="27"/>
      <c r="M154" s="133" t="s">
        <v>1</v>
      </c>
      <c r="N154" s="134" t="s">
        <v>39</v>
      </c>
      <c r="O154" s="135">
        <v>0.15</v>
      </c>
      <c r="P154" s="135">
        <f t="shared" si="11"/>
        <v>18.75</v>
      </c>
      <c r="Q154" s="135">
        <v>0</v>
      </c>
      <c r="R154" s="135">
        <f t="shared" si="12"/>
        <v>0</v>
      </c>
      <c r="S154" s="135">
        <v>0</v>
      </c>
      <c r="T154" s="136">
        <f t="shared" si="13"/>
        <v>0</v>
      </c>
      <c r="AR154" s="137" t="s">
        <v>206</v>
      </c>
      <c r="AT154" s="137" t="s">
        <v>144</v>
      </c>
      <c r="AU154" s="137" t="s">
        <v>143</v>
      </c>
      <c r="AY154" s="15" t="s">
        <v>141</v>
      </c>
      <c r="BE154" s="138">
        <f t="shared" si="14"/>
        <v>0</v>
      </c>
      <c r="BF154" s="138">
        <f t="shared" si="15"/>
        <v>7875</v>
      </c>
      <c r="BG154" s="138">
        <f t="shared" si="16"/>
        <v>0</v>
      </c>
      <c r="BH154" s="138">
        <f t="shared" si="17"/>
        <v>0</v>
      </c>
      <c r="BI154" s="138">
        <f t="shared" si="18"/>
        <v>0</v>
      </c>
      <c r="BJ154" s="15" t="s">
        <v>143</v>
      </c>
      <c r="BK154" s="138">
        <f t="shared" si="19"/>
        <v>7875</v>
      </c>
      <c r="BL154" s="15" t="s">
        <v>206</v>
      </c>
      <c r="BM154" s="137" t="s">
        <v>1634</v>
      </c>
    </row>
    <row r="155" spans="2:65" s="1" customFormat="1" ht="33" customHeight="1">
      <c r="B155" s="126"/>
      <c r="C155" s="139" t="s">
        <v>278</v>
      </c>
      <c r="D155" s="139" t="s">
        <v>207</v>
      </c>
      <c r="E155" s="140" t="s">
        <v>1633</v>
      </c>
      <c r="F155" s="141" t="s">
        <v>1632</v>
      </c>
      <c r="G155" s="142" t="s">
        <v>147</v>
      </c>
      <c r="H155" s="143">
        <v>5</v>
      </c>
      <c r="I155" s="144">
        <v>942</v>
      </c>
      <c r="J155" s="144">
        <f t="shared" si="10"/>
        <v>4710</v>
      </c>
      <c r="K155" s="141" t="s">
        <v>148</v>
      </c>
      <c r="L155" s="145"/>
      <c r="M155" s="146" t="s">
        <v>1</v>
      </c>
      <c r="N155" s="147" t="s">
        <v>39</v>
      </c>
      <c r="O155" s="135">
        <v>0</v>
      </c>
      <c r="P155" s="135">
        <f t="shared" si="11"/>
        <v>0</v>
      </c>
      <c r="Q155" s="135">
        <v>6.7000000000000002E-3</v>
      </c>
      <c r="R155" s="135">
        <f t="shared" si="12"/>
        <v>3.3500000000000002E-2</v>
      </c>
      <c r="S155" s="135">
        <v>0</v>
      </c>
      <c r="T155" s="136">
        <f t="shared" si="13"/>
        <v>0</v>
      </c>
      <c r="AR155" s="137" t="s">
        <v>274</v>
      </c>
      <c r="AT155" s="137" t="s">
        <v>207</v>
      </c>
      <c r="AU155" s="137" t="s">
        <v>143</v>
      </c>
      <c r="AY155" s="15" t="s">
        <v>141</v>
      </c>
      <c r="BE155" s="138">
        <f t="shared" si="14"/>
        <v>0</v>
      </c>
      <c r="BF155" s="138">
        <f t="shared" si="15"/>
        <v>4710</v>
      </c>
      <c r="BG155" s="138">
        <f t="shared" si="16"/>
        <v>0</v>
      </c>
      <c r="BH155" s="138">
        <f t="shared" si="17"/>
        <v>0</v>
      </c>
      <c r="BI155" s="138">
        <f t="shared" si="18"/>
        <v>0</v>
      </c>
      <c r="BJ155" s="15" t="s">
        <v>143</v>
      </c>
      <c r="BK155" s="138">
        <f t="shared" si="19"/>
        <v>4710</v>
      </c>
      <c r="BL155" s="15" t="s">
        <v>206</v>
      </c>
      <c r="BM155" s="137" t="s">
        <v>1631</v>
      </c>
    </row>
    <row r="156" spans="2:65" s="1" customFormat="1" ht="33" customHeight="1">
      <c r="B156" s="126"/>
      <c r="C156" s="139" t="s">
        <v>282</v>
      </c>
      <c r="D156" s="139" t="s">
        <v>207</v>
      </c>
      <c r="E156" s="140" t="s">
        <v>1630</v>
      </c>
      <c r="F156" s="141" t="s">
        <v>1629</v>
      </c>
      <c r="G156" s="142" t="s">
        <v>147</v>
      </c>
      <c r="H156" s="143">
        <v>12</v>
      </c>
      <c r="I156" s="144">
        <v>1140</v>
      </c>
      <c r="J156" s="144">
        <f t="shared" si="10"/>
        <v>13680</v>
      </c>
      <c r="K156" s="141" t="s">
        <v>148</v>
      </c>
      <c r="L156" s="145"/>
      <c r="M156" s="146" t="s">
        <v>1</v>
      </c>
      <c r="N156" s="147" t="s">
        <v>39</v>
      </c>
      <c r="O156" s="135">
        <v>0</v>
      </c>
      <c r="P156" s="135">
        <f t="shared" si="11"/>
        <v>0</v>
      </c>
      <c r="Q156" s="135">
        <v>9.2999999999999992E-3</v>
      </c>
      <c r="R156" s="135">
        <f t="shared" si="12"/>
        <v>0.11159999999999999</v>
      </c>
      <c r="S156" s="135">
        <v>0</v>
      </c>
      <c r="T156" s="136">
        <f t="shared" si="13"/>
        <v>0</v>
      </c>
      <c r="AR156" s="137" t="s">
        <v>274</v>
      </c>
      <c r="AT156" s="137" t="s">
        <v>207</v>
      </c>
      <c r="AU156" s="137" t="s">
        <v>143</v>
      </c>
      <c r="AY156" s="15" t="s">
        <v>141</v>
      </c>
      <c r="BE156" s="138">
        <f t="shared" si="14"/>
        <v>0</v>
      </c>
      <c r="BF156" s="138">
        <f t="shared" si="15"/>
        <v>13680</v>
      </c>
      <c r="BG156" s="138">
        <f t="shared" si="16"/>
        <v>0</v>
      </c>
      <c r="BH156" s="138">
        <f t="shared" si="17"/>
        <v>0</v>
      </c>
      <c r="BI156" s="138">
        <f t="shared" si="18"/>
        <v>0</v>
      </c>
      <c r="BJ156" s="15" t="s">
        <v>143</v>
      </c>
      <c r="BK156" s="138">
        <f t="shared" si="19"/>
        <v>13680</v>
      </c>
      <c r="BL156" s="15" t="s">
        <v>206</v>
      </c>
      <c r="BM156" s="137" t="s">
        <v>1628</v>
      </c>
    </row>
    <row r="157" spans="2:65" s="1" customFormat="1" ht="33" customHeight="1">
      <c r="B157" s="126"/>
      <c r="C157" s="139" t="s">
        <v>286</v>
      </c>
      <c r="D157" s="139" t="s">
        <v>207</v>
      </c>
      <c r="E157" s="140" t="s">
        <v>1627</v>
      </c>
      <c r="F157" s="141" t="s">
        <v>1626</v>
      </c>
      <c r="G157" s="142" t="s">
        <v>147</v>
      </c>
      <c r="H157" s="143">
        <v>4</v>
      </c>
      <c r="I157" s="144">
        <v>1390</v>
      </c>
      <c r="J157" s="144">
        <f t="shared" si="10"/>
        <v>5560</v>
      </c>
      <c r="K157" s="141" t="s">
        <v>148</v>
      </c>
      <c r="L157" s="145"/>
      <c r="M157" s="146" t="s">
        <v>1</v>
      </c>
      <c r="N157" s="147" t="s">
        <v>39</v>
      </c>
      <c r="O157" s="135">
        <v>0</v>
      </c>
      <c r="P157" s="135">
        <f t="shared" si="11"/>
        <v>0</v>
      </c>
      <c r="Q157" s="135">
        <v>1.0500000000000001E-2</v>
      </c>
      <c r="R157" s="135">
        <f t="shared" si="12"/>
        <v>4.2000000000000003E-2</v>
      </c>
      <c r="S157" s="135">
        <v>0</v>
      </c>
      <c r="T157" s="136">
        <f t="shared" si="13"/>
        <v>0</v>
      </c>
      <c r="AR157" s="137" t="s">
        <v>274</v>
      </c>
      <c r="AT157" s="137" t="s">
        <v>207</v>
      </c>
      <c r="AU157" s="137" t="s">
        <v>143</v>
      </c>
      <c r="AY157" s="15" t="s">
        <v>141</v>
      </c>
      <c r="BE157" s="138">
        <f t="shared" si="14"/>
        <v>0</v>
      </c>
      <c r="BF157" s="138">
        <f t="shared" si="15"/>
        <v>5560</v>
      </c>
      <c r="BG157" s="138">
        <f t="shared" si="16"/>
        <v>0</v>
      </c>
      <c r="BH157" s="138">
        <f t="shared" si="17"/>
        <v>0</v>
      </c>
      <c r="BI157" s="138">
        <f t="shared" si="18"/>
        <v>0</v>
      </c>
      <c r="BJ157" s="15" t="s">
        <v>143</v>
      </c>
      <c r="BK157" s="138">
        <f t="shared" si="19"/>
        <v>5560</v>
      </c>
      <c r="BL157" s="15" t="s">
        <v>206</v>
      </c>
      <c r="BM157" s="137" t="s">
        <v>1625</v>
      </c>
    </row>
    <row r="158" spans="2:65" s="1" customFormat="1" ht="24.2" customHeight="1">
      <c r="B158" s="126"/>
      <c r="C158" s="127" t="s">
        <v>290</v>
      </c>
      <c r="D158" s="127" t="s">
        <v>144</v>
      </c>
      <c r="E158" s="128" t="s">
        <v>1624</v>
      </c>
      <c r="F158" s="129" t="s">
        <v>1623</v>
      </c>
      <c r="G158" s="130" t="s">
        <v>147</v>
      </c>
      <c r="H158" s="131">
        <v>14</v>
      </c>
      <c r="I158" s="132">
        <v>336</v>
      </c>
      <c r="J158" s="132">
        <f t="shared" si="10"/>
        <v>4704</v>
      </c>
      <c r="K158" s="129" t="s">
        <v>148</v>
      </c>
      <c r="L158" s="27"/>
      <c r="M158" s="133" t="s">
        <v>1</v>
      </c>
      <c r="N158" s="134" t="s">
        <v>39</v>
      </c>
      <c r="O158" s="135">
        <v>0.8</v>
      </c>
      <c r="P158" s="135">
        <f t="shared" si="11"/>
        <v>11.200000000000001</v>
      </c>
      <c r="Q158" s="135">
        <v>0</v>
      </c>
      <c r="R158" s="135">
        <f t="shared" si="12"/>
        <v>0</v>
      </c>
      <c r="S158" s="135">
        <v>0</v>
      </c>
      <c r="T158" s="136">
        <f t="shared" si="13"/>
        <v>0</v>
      </c>
      <c r="AR158" s="137" t="s">
        <v>206</v>
      </c>
      <c r="AT158" s="137" t="s">
        <v>144</v>
      </c>
      <c r="AU158" s="137" t="s">
        <v>143</v>
      </c>
      <c r="AY158" s="15" t="s">
        <v>141</v>
      </c>
      <c r="BE158" s="138">
        <f t="shared" si="14"/>
        <v>0</v>
      </c>
      <c r="BF158" s="138">
        <f t="shared" si="15"/>
        <v>4704</v>
      </c>
      <c r="BG158" s="138">
        <f t="shared" si="16"/>
        <v>0</v>
      </c>
      <c r="BH158" s="138">
        <f t="shared" si="17"/>
        <v>0</v>
      </c>
      <c r="BI158" s="138">
        <f t="shared" si="18"/>
        <v>0</v>
      </c>
      <c r="BJ158" s="15" t="s">
        <v>143</v>
      </c>
      <c r="BK158" s="138">
        <f t="shared" si="19"/>
        <v>4704</v>
      </c>
      <c r="BL158" s="15" t="s">
        <v>206</v>
      </c>
      <c r="BM158" s="137" t="s">
        <v>1622</v>
      </c>
    </row>
    <row r="159" spans="2:65" s="1" customFormat="1" ht="37.9" customHeight="1">
      <c r="B159" s="126"/>
      <c r="C159" s="127" t="s">
        <v>294</v>
      </c>
      <c r="D159" s="127" t="s">
        <v>144</v>
      </c>
      <c r="E159" s="128" t="s">
        <v>1621</v>
      </c>
      <c r="F159" s="129" t="s">
        <v>1620</v>
      </c>
      <c r="G159" s="130" t="s">
        <v>147</v>
      </c>
      <c r="H159" s="131">
        <v>14</v>
      </c>
      <c r="I159" s="132">
        <v>210</v>
      </c>
      <c r="J159" s="132">
        <f t="shared" si="10"/>
        <v>2940</v>
      </c>
      <c r="K159" s="129" t="s">
        <v>148</v>
      </c>
      <c r="L159" s="27"/>
      <c r="M159" s="133" t="s">
        <v>1</v>
      </c>
      <c r="N159" s="134" t="s">
        <v>39</v>
      </c>
      <c r="O159" s="135">
        <v>0.5</v>
      </c>
      <c r="P159" s="135">
        <f t="shared" si="11"/>
        <v>7</v>
      </c>
      <c r="Q159" s="135">
        <v>0</v>
      </c>
      <c r="R159" s="135">
        <f t="shared" si="12"/>
        <v>0</v>
      </c>
      <c r="S159" s="135">
        <v>0</v>
      </c>
      <c r="T159" s="136">
        <f t="shared" si="13"/>
        <v>0</v>
      </c>
      <c r="AR159" s="137" t="s">
        <v>206</v>
      </c>
      <c r="AT159" s="137" t="s">
        <v>144</v>
      </c>
      <c r="AU159" s="137" t="s">
        <v>143</v>
      </c>
      <c r="AY159" s="15" t="s">
        <v>141</v>
      </c>
      <c r="BE159" s="138">
        <f t="shared" si="14"/>
        <v>0</v>
      </c>
      <c r="BF159" s="138">
        <f t="shared" si="15"/>
        <v>2940</v>
      </c>
      <c r="BG159" s="138">
        <f t="shared" si="16"/>
        <v>0</v>
      </c>
      <c r="BH159" s="138">
        <f t="shared" si="17"/>
        <v>0</v>
      </c>
      <c r="BI159" s="138">
        <f t="shared" si="18"/>
        <v>0</v>
      </c>
      <c r="BJ159" s="15" t="s">
        <v>143</v>
      </c>
      <c r="BK159" s="138">
        <f t="shared" si="19"/>
        <v>2940</v>
      </c>
      <c r="BL159" s="15" t="s">
        <v>206</v>
      </c>
      <c r="BM159" s="137" t="s">
        <v>1619</v>
      </c>
    </row>
    <row r="160" spans="2:65" s="1" customFormat="1" ht="24.2" customHeight="1">
      <c r="B160" s="126"/>
      <c r="C160" s="127" t="s">
        <v>298</v>
      </c>
      <c r="D160" s="127" t="s">
        <v>144</v>
      </c>
      <c r="E160" s="128" t="s">
        <v>1618</v>
      </c>
      <c r="F160" s="129" t="s">
        <v>1617</v>
      </c>
      <c r="G160" s="130" t="s">
        <v>147</v>
      </c>
      <c r="H160" s="131">
        <v>56</v>
      </c>
      <c r="I160" s="132">
        <v>64.400000000000006</v>
      </c>
      <c r="J160" s="132">
        <f t="shared" si="10"/>
        <v>3606.4</v>
      </c>
      <c r="K160" s="129" t="s">
        <v>148</v>
      </c>
      <c r="L160" s="27"/>
      <c r="M160" s="133" t="s">
        <v>1</v>
      </c>
      <c r="N160" s="134" t="s">
        <v>39</v>
      </c>
      <c r="O160" s="135">
        <v>0.11</v>
      </c>
      <c r="P160" s="135">
        <f t="shared" si="11"/>
        <v>6.16</v>
      </c>
      <c r="Q160" s="135">
        <v>0</v>
      </c>
      <c r="R160" s="135">
        <f t="shared" si="12"/>
        <v>0</v>
      </c>
      <c r="S160" s="135">
        <v>0</v>
      </c>
      <c r="T160" s="136">
        <f t="shared" si="13"/>
        <v>0</v>
      </c>
      <c r="AR160" s="137" t="s">
        <v>206</v>
      </c>
      <c r="AT160" s="137" t="s">
        <v>144</v>
      </c>
      <c r="AU160" s="137" t="s">
        <v>143</v>
      </c>
      <c r="AY160" s="15" t="s">
        <v>141</v>
      </c>
      <c r="BE160" s="138">
        <f t="shared" si="14"/>
        <v>0</v>
      </c>
      <c r="BF160" s="138">
        <f t="shared" si="15"/>
        <v>3606.4</v>
      </c>
      <c r="BG160" s="138">
        <f t="shared" si="16"/>
        <v>0</v>
      </c>
      <c r="BH160" s="138">
        <f t="shared" si="17"/>
        <v>0</v>
      </c>
      <c r="BI160" s="138">
        <f t="shared" si="18"/>
        <v>0</v>
      </c>
      <c r="BJ160" s="15" t="s">
        <v>143</v>
      </c>
      <c r="BK160" s="138">
        <f t="shared" si="19"/>
        <v>3606.4</v>
      </c>
      <c r="BL160" s="15" t="s">
        <v>206</v>
      </c>
      <c r="BM160" s="137" t="s">
        <v>1616</v>
      </c>
    </row>
    <row r="161" spans="2:65" s="1" customFormat="1" ht="33" customHeight="1">
      <c r="B161" s="126"/>
      <c r="C161" s="127" t="s">
        <v>302</v>
      </c>
      <c r="D161" s="127" t="s">
        <v>144</v>
      </c>
      <c r="E161" s="128" t="s">
        <v>1615</v>
      </c>
      <c r="F161" s="129" t="s">
        <v>1614</v>
      </c>
      <c r="G161" s="130" t="s">
        <v>147</v>
      </c>
      <c r="H161" s="131">
        <v>1</v>
      </c>
      <c r="I161" s="132">
        <v>857</v>
      </c>
      <c r="J161" s="132">
        <f t="shared" si="10"/>
        <v>857</v>
      </c>
      <c r="K161" s="129" t="s">
        <v>148</v>
      </c>
      <c r="L161" s="27"/>
      <c r="M161" s="133" t="s">
        <v>1</v>
      </c>
      <c r="N161" s="134" t="s">
        <v>39</v>
      </c>
      <c r="O161" s="135">
        <v>1.714</v>
      </c>
      <c r="P161" s="135">
        <f t="shared" si="11"/>
        <v>1.714</v>
      </c>
      <c r="Q161" s="135">
        <v>0</v>
      </c>
      <c r="R161" s="135">
        <f t="shared" si="12"/>
        <v>0</v>
      </c>
      <c r="S161" s="135">
        <v>0</v>
      </c>
      <c r="T161" s="136">
        <f t="shared" si="13"/>
        <v>0</v>
      </c>
      <c r="AR161" s="137" t="s">
        <v>206</v>
      </c>
      <c r="AT161" s="137" t="s">
        <v>144</v>
      </c>
      <c r="AU161" s="137" t="s">
        <v>143</v>
      </c>
      <c r="AY161" s="15" t="s">
        <v>141</v>
      </c>
      <c r="BE161" s="138">
        <f t="shared" si="14"/>
        <v>0</v>
      </c>
      <c r="BF161" s="138">
        <f t="shared" si="15"/>
        <v>857</v>
      </c>
      <c r="BG161" s="138">
        <f t="shared" si="16"/>
        <v>0</v>
      </c>
      <c r="BH161" s="138">
        <f t="shared" si="17"/>
        <v>0</v>
      </c>
      <c r="BI161" s="138">
        <f t="shared" si="18"/>
        <v>0</v>
      </c>
      <c r="BJ161" s="15" t="s">
        <v>143</v>
      </c>
      <c r="BK161" s="138">
        <f t="shared" si="19"/>
        <v>857</v>
      </c>
      <c r="BL161" s="15" t="s">
        <v>206</v>
      </c>
      <c r="BM161" s="137" t="s">
        <v>1613</v>
      </c>
    </row>
    <row r="162" spans="2:65" s="1" customFormat="1" ht="21.75" customHeight="1">
      <c r="B162" s="126"/>
      <c r="C162" s="139" t="s">
        <v>306</v>
      </c>
      <c r="D162" s="139" t="s">
        <v>207</v>
      </c>
      <c r="E162" s="140" t="s">
        <v>1612</v>
      </c>
      <c r="F162" s="141" t="s">
        <v>1611</v>
      </c>
      <c r="G162" s="142" t="s">
        <v>147</v>
      </c>
      <c r="H162" s="143">
        <v>1</v>
      </c>
      <c r="I162" s="144">
        <v>31500</v>
      </c>
      <c r="J162" s="144">
        <f t="shared" si="10"/>
        <v>31500</v>
      </c>
      <c r="K162" s="141" t="s">
        <v>148</v>
      </c>
      <c r="L162" s="145"/>
      <c r="M162" s="146" t="s">
        <v>1</v>
      </c>
      <c r="N162" s="147" t="s">
        <v>39</v>
      </c>
      <c r="O162" s="135">
        <v>0</v>
      </c>
      <c r="P162" s="135">
        <f t="shared" si="11"/>
        <v>0</v>
      </c>
      <c r="Q162" s="135">
        <v>2.9000000000000001E-2</v>
      </c>
      <c r="R162" s="135">
        <f t="shared" si="12"/>
        <v>2.9000000000000001E-2</v>
      </c>
      <c r="S162" s="135">
        <v>0</v>
      </c>
      <c r="T162" s="136">
        <f t="shared" si="13"/>
        <v>0</v>
      </c>
      <c r="AR162" s="137" t="s">
        <v>274</v>
      </c>
      <c r="AT162" s="137" t="s">
        <v>207</v>
      </c>
      <c r="AU162" s="137" t="s">
        <v>143</v>
      </c>
      <c r="AY162" s="15" t="s">
        <v>141</v>
      </c>
      <c r="BE162" s="138">
        <f t="shared" si="14"/>
        <v>0</v>
      </c>
      <c r="BF162" s="138">
        <f t="shared" si="15"/>
        <v>31500</v>
      </c>
      <c r="BG162" s="138">
        <f t="shared" si="16"/>
        <v>0</v>
      </c>
      <c r="BH162" s="138">
        <f t="shared" si="17"/>
        <v>0</v>
      </c>
      <c r="BI162" s="138">
        <f t="shared" si="18"/>
        <v>0</v>
      </c>
      <c r="BJ162" s="15" t="s">
        <v>143</v>
      </c>
      <c r="BK162" s="138">
        <f t="shared" si="19"/>
        <v>31500</v>
      </c>
      <c r="BL162" s="15" t="s">
        <v>206</v>
      </c>
      <c r="BM162" s="137" t="s">
        <v>1610</v>
      </c>
    </row>
    <row r="163" spans="2:65" s="1" customFormat="1" ht="24.2" customHeight="1">
      <c r="B163" s="126"/>
      <c r="C163" s="127" t="s">
        <v>310</v>
      </c>
      <c r="D163" s="127" t="s">
        <v>144</v>
      </c>
      <c r="E163" s="128" t="s">
        <v>1609</v>
      </c>
      <c r="F163" s="129" t="s">
        <v>1608</v>
      </c>
      <c r="G163" s="130" t="s">
        <v>147</v>
      </c>
      <c r="H163" s="131">
        <v>3</v>
      </c>
      <c r="I163" s="132">
        <v>4410</v>
      </c>
      <c r="J163" s="132">
        <f t="shared" si="10"/>
        <v>13230</v>
      </c>
      <c r="K163" s="129" t="s">
        <v>148</v>
      </c>
      <c r="L163" s="27"/>
      <c r="M163" s="133" t="s">
        <v>1</v>
      </c>
      <c r="N163" s="134" t="s">
        <v>39</v>
      </c>
      <c r="O163" s="135">
        <v>8.827</v>
      </c>
      <c r="P163" s="135">
        <f t="shared" si="11"/>
        <v>26.481000000000002</v>
      </c>
      <c r="Q163" s="135">
        <v>0</v>
      </c>
      <c r="R163" s="135">
        <f t="shared" si="12"/>
        <v>0</v>
      </c>
      <c r="S163" s="135">
        <v>0</v>
      </c>
      <c r="T163" s="136">
        <f t="shared" si="13"/>
        <v>0</v>
      </c>
      <c r="AR163" s="137" t="s">
        <v>206</v>
      </c>
      <c r="AT163" s="137" t="s">
        <v>144</v>
      </c>
      <c r="AU163" s="137" t="s">
        <v>143</v>
      </c>
      <c r="AY163" s="15" t="s">
        <v>141</v>
      </c>
      <c r="BE163" s="138">
        <f t="shared" si="14"/>
        <v>0</v>
      </c>
      <c r="BF163" s="138">
        <f t="shared" si="15"/>
        <v>13230</v>
      </c>
      <c r="BG163" s="138">
        <f t="shared" si="16"/>
        <v>0</v>
      </c>
      <c r="BH163" s="138">
        <f t="shared" si="17"/>
        <v>0</v>
      </c>
      <c r="BI163" s="138">
        <f t="shared" si="18"/>
        <v>0</v>
      </c>
      <c r="BJ163" s="15" t="s">
        <v>143</v>
      </c>
      <c r="BK163" s="138">
        <f t="shared" si="19"/>
        <v>13230</v>
      </c>
      <c r="BL163" s="15" t="s">
        <v>206</v>
      </c>
      <c r="BM163" s="137" t="s">
        <v>1607</v>
      </c>
    </row>
    <row r="164" spans="2:65" s="1" customFormat="1" ht="33" customHeight="1">
      <c r="B164" s="126"/>
      <c r="C164" s="139" t="s">
        <v>314</v>
      </c>
      <c r="D164" s="139" t="s">
        <v>207</v>
      </c>
      <c r="E164" s="140" t="s">
        <v>1606</v>
      </c>
      <c r="F164" s="141" t="s">
        <v>1605</v>
      </c>
      <c r="G164" s="142" t="s">
        <v>147</v>
      </c>
      <c r="H164" s="143">
        <v>3</v>
      </c>
      <c r="I164" s="144">
        <v>43400</v>
      </c>
      <c r="J164" s="144">
        <f t="shared" si="10"/>
        <v>130200</v>
      </c>
      <c r="K164" s="141" t="s">
        <v>148</v>
      </c>
      <c r="L164" s="145"/>
      <c r="M164" s="146" t="s">
        <v>1</v>
      </c>
      <c r="N164" s="147" t="s">
        <v>39</v>
      </c>
      <c r="O164" s="135">
        <v>0</v>
      </c>
      <c r="P164" s="135">
        <f t="shared" si="11"/>
        <v>0</v>
      </c>
      <c r="Q164" s="135">
        <v>0.05</v>
      </c>
      <c r="R164" s="135">
        <f t="shared" si="12"/>
        <v>0.15000000000000002</v>
      </c>
      <c r="S164" s="135">
        <v>0</v>
      </c>
      <c r="T164" s="136">
        <f t="shared" si="13"/>
        <v>0</v>
      </c>
      <c r="AR164" s="137" t="s">
        <v>274</v>
      </c>
      <c r="AT164" s="137" t="s">
        <v>207</v>
      </c>
      <c r="AU164" s="137" t="s">
        <v>143</v>
      </c>
      <c r="AY164" s="15" t="s">
        <v>141</v>
      </c>
      <c r="BE164" s="138">
        <f t="shared" si="14"/>
        <v>0</v>
      </c>
      <c r="BF164" s="138">
        <f t="shared" si="15"/>
        <v>130200</v>
      </c>
      <c r="BG164" s="138">
        <f t="shared" si="16"/>
        <v>0</v>
      </c>
      <c r="BH164" s="138">
        <f t="shared" si="17"/>
        <v>0</v>
      </c>
      <c r="BI164" s="138">
        <f t="shared" si="18"/>
        <v>0</v>
      </c>
      <c r="BJ164" s="15" t="s">
        <v>143</v>
      </c>
      <c r="BK164" s="138">
        <f t="shared" si="19"/>
        <v>130200</v>
      </c>
      <c r="BL164" s="15" t="s">
        <v>206</v>
      </c>
      <c r="BM164" s="137" t="s">
        <v>1604</v>
      </c>
    </row>
    <row r="165" spans="2:65" s="1" customFormat="1" ht="24.2" customHeight="1">
      <c r="B165" s="126"/>
      <c r="C165" s="127" t="s">
        <v>318</v>
      </c>
      <c r="D165" s="127" t="s">
        <v>144</v>
      </c>
      <c r="E165" s="128" t="s">
        <v>1603</v>
      </c>
      <c r="F165" s="129" t="s">
        <v>1602</v>
      </c>
      <c r="G165" s="130" t="s">
        <v>193</v>
      </c>
      <c r="H165" s="131">
        <v>60</v>
      </c>
      <c r="I165" s="132">
        <v>205</v>
      </c>
      <c r="J165" s="132">
        <f t="shared" si="10"/>
        <v>12300</v>
      </c>
      <c r="K165" s="129" t="s">
        <v>148</v>
      </c>
      <c r="L165" s="27"/>
      <c r="M165" s="133" t="s">
        <v>1</v>
      </c>
      <c r="N165" s="134" t="s">
        <v>39</v>
      </c>
      <c r="O165" s="135">
        <v>0.41299999999999998</v>
      </c>
      <c r="P165" s="135">
        <f t="shared" si="11"/>
        <v>24.779999999999998</v>
      </c>
      <c r="Q165" s="135">
        <v>0</v>
      </c>
      <c r="R165" s="135">
        <f t="shared" si="12"/>
        <v>0</v>
      </c>
      <c r="S165" s="135">
        <v>0</v>
      </c>
      <c r="T165" s="136">
        <f t="shared" si="13"/>
        <v>0</v>
      </c>
      <c r="AR165" s="137" t="s">
        <v>206</v>
      </c>
      <c r="AT165" s="137" t="s">
        <v>144</v>
      </c>
      <c r="AU165" s="137" t="s">
        <v>143</v>
      </c>
      <c r="AY165" s="15" t="s">
        <v>141</v>
      </c>
      <c r="BE165" s="138">
        <f t="shared" si="14"/>
        <v>0</v>
      </c>
      <c r="BF165" s="138">
        <f t="shared" si="15"/>
        <v>12300</v>
      </c>
      <c r="BG165" s="138">
        <f t="shared" si="16"/>
        <v>0</v>
      </c>
      <c r="BH165" s="138">
        <f t="shared" si="17"/>
        <v>0</v>
      </c>
      <c r="BI165" s="138">
        <f t="shared" si="18"/>
        <v>0</v>
      </c>
      <c r="BJ165" s="15" t="s">
        <v>143</v>
      </c>
      <c r="BK165" s="138">
        <f t="shared" si="19"/>
        <v>12300</v>
      </c>
      <c r="BL165" s="15" t="s">
        <v>206</v>
      </c>
      <c r="BM165" s="137" t="s">
        <v>1601</v>
      </c>
    </row>
    <row r="166" spans="2:65" s="1" customFormat="1" ht="24.2" customHeight="1">
      <c r="B166" s="126"/>
      <c r="C166" s="139" t="s">
        <v>322</v>
      </c>
      <c r="D166" s="139" t="s">
        <v>207</v>
      </c>
      <c r="E166" s="140" t="s">
        <v>1600</v>
      </c>
      <c r="F166" s="141" t="s">
        <v>1599</v>
      </c>
      <c r="G166" s="142" t="s">
        <v>193</v>
      </c>
      <c r="H166" s="143">
        <v>60</v>
      </c>
      <c r="I166" s="144">
        <v>202</v>
      </c>
      <c r="J166" s="144">
        <f t="shared" si="10"/>
        <v>12120</v>
      </c>
      <c r="K166" s="141" t="s">
        <v>148</v>
      </c>
      <c r="L166" s="145"/>
      <c r="M166" s="146" t="s">
        <v>1</v>
      </c>
      <c r="N166" s="147" t="s">
        <v>39</v>
      </c>
      <c r="O166" s="135">
        <v>0</v>
      </c>
      <c r="P166" s="135">
        <f t="shared" si="11"/>
        <v>0</v>
      </c>
      <c r="Q166" s="135">
        <v>1E-3</v>
      </c>
      <c r="R166" s="135">
        <f t="shared" si="12"/>
        <v>0.06</v>
      </c>
      <c r="S166" s="135">
        <v>0</v>
      </c>
      <c r="T166" s="136">
        <f t="shared" si="13"/>
        <v>0</v>
      </c>
      <c r="AR166" s="137" t="s">
        <v>274</v>
      </c>
      <c r="AT166" s="137" t="s">
        <v>207</v>
      </c>
      <c r="AU166" s="137" t="s">
        <v>143</v>
      </c>
      <c r="AY166" s="15" t="s">
        <v>141</v>
      </c>
      <c r="BE166" s="138">
        <f t="shared" si="14"/>
        <v>0</v>
      </c>
      <c r="BF166" s="138">
        <f t="shared" si="15"/>
        <v>12120</v>
      </c>
      <c r="BG166" s="138">
        <f t="shared" si="16"/>
        <v>0</v>
      </c>
      <c r="BH166" s="138">
        <f t="shared" si="17"/>
        <v>0</v>
      </c>
      <c r="BI166" s="138">
        <f t="shared" si="18"/>
        <v>0</v>
      </c>
      <c r="BJ166" s="15" t="s">
        <v>143</v>
      </c>
      <c r="BK166" s="138">
        <f t="shared" si="19"/>
        <v>12120</v>
      </c>
      <c r="BL166" s="15" t="s">
        <v>206</v>
      </c>
      <c r="BM166" s="137" t="s">
        <v>1598</v>
      </c>
    </row>
    <row r="167" spans="2:65" s="12" customFormat="1">
      <c r="B167" s="148"/>
      <c r="D167" s="149" t="s">
        <v>363</v>
      </c>
      <c r="F167" s="150" t="s">
        <v>1734</v>
      </c>
      <c r="H167" s="151">
        <v>60</v>
      </c>
      <c r="L167" s="148"/>
      <c r="M167" s="152"/>
      <c r="T167" s="153"/>
      <c r="AT167" s="154" t="s">
        <v>363</v>
      </c>
      <c r="AU167" s="154" t="s">
        <v>143</v>
      </c>
      <c r="AV167" s="12" t="s">
        <v>143</v>
      </c>
      <c r="AW167" s="12" t="s">
        <v>3</v>
      </c>
      <c r="AX167" s="12" t="s">
        <v>81</v>
      </c>
      <c r="AY167" s="154" t="s">
        <v>141</v>
      </c>
    </row>
    <row r="168" spans="2:65" s="1" customFormat="1" ht="24.2" customHeight="1">
      <c r="B168" s="126"/>
      <c r="C168" s="127" t="s">
        <v>326</v>
      </c>
      <c r="D168" s="127" t="s">
        <v>144</v>
      </c>
      <c r="E168" s="128" t="s">
        <v>1596</v>
      </c>
      <c r="F168" s="129" t="s">
        <v>1595</v>
      </c>
      <c r="G168" s="130" t="s">
        <v>1247</v>
      </c>
      <c r="H168" s="131">
        <v>4</v>
      </c>
      <c r="I168" s="132">
        <v>585</v>
      </c>
      <c r="J168" s="132">
        <f t="shared" ref="J168:J178" si="20">ROUND(I168*H168,2)</f>
        <v>2340</v>
      </c>
      <c r="K168" s="129" t="s">
        <v>148</v>
      </c>
      <c r="L168" s="27"/>
      <c r="M168" s="133" t="s">
        <v>1</v>
      </c>
      <c r="N168" s="134" t="s">
        <v>39</v>
      </c>
      <c r="O168" s="135">
        <v>1</v>
      </c>
      <c r="P168" s="135">
        <f t="shared" ref="P168:P178" si="21">O168*H168</f>
        <v>4</v>
      </c>
      <c r="Q168" s="135">
        <v>0</v>
      </c>
      <c r="R168" s="135">
        <f t="shared" ref="R168:R178" si="22">Q168*H168</f>
        <v>0</v>
      </c>
      <c r="S168" s="135">
        <v>0</v>
      </c>
      <c r="T168" s="136">
        <f t="shared" ref="T168:T178" si="23">S168*H168</f>
        <v>0</v>
      </c>
      <c r="AR168" s="137" t="s">
        <v>206</v>
      </c>
      <c r="AT168" s="137" t="s">
        <v>144</v>
      </c>
      <c r="AU168" s="137" t="s">
        <v>143</v>
      </c>
      <c r="AY168" s="15" t="s">
        <v>141</v>
      </c>
      <c r="BE168" s="138">
        <f t="shared" ref="BE168:BE178" si="24">IF(N168="základní",J168,0)</f>
        <v>0</v>
      </c>
      <c r="BF168" s="138">
        <f t="shared" ref="BF168:BF178" si="25">IF(N168="snížená",J168,0)</f>
        <v>2340</v>
      </c>
      <c r="BG168" s="138">
        <f t="shared" ref="BG168:BG178" si="26">IF(N168="zákl. přenesená",J168,0)</f>
        <v>0</v>
      </c>
      <c r="BH168" s="138">
        <f t="shared" ref="BH168:BH178" si="27">IF(N168="sníž. přenesená",J168,0)</f>
        <v>0</v>
      </c>
      <c r="BI168" s="138">
        <f t="shared" ref="BI168:BI178" si="28">IF(N168="nulová",J168,0)</f>
        <v>0</v>
      </c>
      <c r="BJ168" s="15" t="s">
        <v>143</v>
      </c>
      <c r="BK168" s="138">
        <f t="shared" ref="BK168:BK178" si="29">ROUND(I168*H168,2)</f>
        <v>2340</v>
      </c>
      <c r="BL168" s="15" t="s">
        <v>206</v>
      </c>
      <c r="BM168" s="137" t="s">
        <v>1594</v>
      </c>
    </row>
    <row r="169" spans="2:65" s="1" customFormat="1" ht="16.5" customHeight="1">
      <c r="B169" s="126"/>
      <c r="C169" s="127" t="s">
        <v>1364</v>
      </c>
      <c r="D169" s="127" t="s">
        <v>144</v>
      </c>
      <c r="E169" s="128" t="s">
        <v>1593</v>
      </c>
      <c r="F169" s="129" t="s">
        <v>1592</v>
      </c>
      <c r="G169" s="130" t="s">
        <v>964</v>
      </c>
      <c r="H169" s="131">
        <v>20</v>
      </c>
      <c r="I169" s="132">
        <v>1240</v>
      </c>
      <c r="J169" s="132">
        <f t="shared" si="20"/>
        <v>24800</v>
      </c>
      <c r="K169" s="129" t="s">
        <v>148</v>
      </c>
      <c r="L169" s="27"/>
      <c r="M169" s="133" t="s">
        <v>1</v>
      </c>
      <c r="N169" s="134" t="s">
        <v>39</v>
      </c>
      <c r="O169" s="135">
        <v>2.12</v>
      </c>
      <c r="P169" s="135">
        <f t="shared" si="21"/>
        <v>42.400000000000006</v>
      </c>
      <c r="Q169" s="135">
        <v>0</v>
      </c>
      <c r="R169" s="135">
        <f t="shared" si="22"/>
        <v>0</v>
      </c>
      <c r="S169" s="135">
        <v>0</v>
      </c>
      <c r="T169" s="136">
        <f t="shared" si="23"/>
        <v>0</v>
      </c>
      <c r="AR169" s="137" t="s">
        <v>206</v>
      </c>
      <c r="AT169" s="137" t="s">
        <v>144</v>
      </c>
      <c r="AU169" s="137" t="s">
        <v>143</v>
      </c>
      <c r="AY169" s="15" t="s">
        <v>141</v>
      </c>
      <c r="BE169" s="138">
        <f t="shared" si="24"/>
        <v>0</v>
      </c>
      <c r="BF169" s="138">
        <f t="shared" si="25"/>
        <v>24800</v>
      </c>
      <c r="BG169" s="138">
        <f t="shared" si="26"/>
        <v>0</v>
      </c>
      <c r="BH169" s="138">
        <f t="shared" si="27"/>
        <v>0</v>
      </c>
      <c r="BI169" s="138">
        <f t="shared" si="28"/>
        <v>0</v>
      </c>
      <c r="BJ169" s="15" t="s">
        <v>143</v>
      </c>
      <c r="BK169" s="138">
        <f t="shared" si="29"/>
        <v>24800</v>
      </c>
      <c r="BL169" s="15" t="s">
        <v>206</v>
      </c>
      <c r="BM169" s="137" t="s">
        <v>1591</v>
      </c>
    </row>
    <row r="170" spans="2:65" s="1" customFormat="1" ht="16.5" customHeight="1">
      <c r="B170" s="126"/>
      <c r="C170" s="139" t="s">
        <v>1360</v>
      </c>
      <c r="D170" s="139" t="s">
        <v>207</v>
      </c>
      <c r="E170" s="140" t="s">
        <v>1590</v>
      </c>
      <c r="F170" s="141" t="s">
        <v>1589</v>
      </c>
      <c r="G170" s="142" t="s">
        <v>964</v>
      </c>
      <c r="H170" s="143">
        <v>20</v>
      </c>
      <c r="I170" s="144">
        <v>417</v>
      </c>
      <c r="J170" s="144">
        <f t="shared" si="20"/>
        <v>8340</v>
      </c>
      <c r="K170" s="141" t="s">
        <v>148</v>
      </c>
      <c r="L170" s="145"/>
      <c r="M170" s="146" t="s">
        <v>1</v>
      </c>
      <c r="N170" s="147" t="s">
        <v>39</v>
      </c>
      <c r="O170" s="135">
        <v>0</v>
      </c>
      <c r="P170" s="135">
        <f t="shared" si="21"/>
        <v>0</v>
      </c>
      <c r="Q170" s="135">
        <v>1E-3</v>
      </c>
      <c r="R170" s="135">
        <f t="shared" si="22"/>
        <v>0.02</v>
      </c>
      <c r="S170" s="135">
        <v>0</v>
      </c>
      <c r="T170" s="136">
        <f t="shared" si="23"/>
        <v>0</v>
      </c>
      <c r="AR170" s="137" t="s">
        <v>274</v>
      </c>
      <c r="AT170" s="137" t="s">
        <v>207</v>
      </c>
      <c r="AU170" s="137" t="s">
        <v>143</v>
      </c>
      <c r="AY170" s="15" t="s">
        <v>141</v>
      </c>
      <c r="BE170" s="138">
        <f t="shared" si="24"/>
        <v>0</v>
      </c>
      <c r="BF170" s="138">
        <f t="shared" si="25"/>
        <v>8340</v>
      </c>
      <c r="BG170" s="138">
        <f t="shared" si="26"/>
        <v>0</v>
      </c>
      <c r="BH170" s="138">
        <f t="shared" si="27"/>
        <v>0</v>
      </c>
      <c r="BI170" s="138">
        <f t="shared" si="28"/>
        <v>0</v>
      </c>
      <c r="BJ170" s="15" t="s">
        <v>143</v>
      </c>
      <c r="BK170" s="138">
        <f t="shared" si="29"/>
        <v>8340</v>
      </c>
      <c r="BL170" s="15" t="s">
        <v>206</v>
      </c>
      <c r="BM170" s="137" t="s">
        <v>1588</v>
      </c>
    </row>
    <row r="171" spans="2:65" s="1" customFormat="1" ht="21.75" customHeight="1">
      <c r="B171" s="126"/>
      <c r="C171" s="127" t="s">
        <v>1356</v>
      </c>
      <c r="D171" s="127" t="s">
        <v>144</v>
      </c>
      <c r="E171" s="128" t="s">
        <v>1587</v>
      </c>
      <c r="F171" s="129" t="s">
        <v>1586</v>
      </c>
      <c r="G171" s="130" t="s">
        <v>147</v>
      </c>
      <c r="H171" s="131">
        <v>4</v>
      </c>
      <c r="I171" s="132">
        <v>429</v>
      </c>
      <c r="J171" s="132">
        <f t="shared" si="20"/>
        <v>1716</v>
      </c>
      <c r="K171" s="129" t="s">
        <v>1</v>
      </c>
      <c r="L171" s="27"/>
      <c r="M171" s="133" t="s">
        <v>1</v>
      </c>
      <c r="N171" s="134" t="s">
        <v>39</v>
      </c>
      <c r="O171" s="135">
        <v>2.12</v>
      </c>
      <c r="P171" s="135">
        <f t="shared" si="21"/>
        <v>8.48</v>
      </c>
      <c r="Q171" s="135">
        <v>0</v>
      </c>
      <c r="R171" s="135">
        <f t="shared" si="22"/>
        <v>0</v>
      </c>
      <c r="S171" s="135">
        <v>0</v>
      </c>
      <c r="T171" s="136">
        <f t="shared" si="23"/>
        <v>0</v>
      </c>
      <c r="AR171" s="137" t="s">
        <v>206</v>
      </c>
      <c r="AT171" s="137" t="s">
        <v>144</v>
      </c>
      <c r="AU171" s="137" t="s">
        <v>143</v>
      </c>
      <c r="AY171" s="15" t="s">
        <v>141</v>
      </c>
      <c r="BE171" s="138">
        <f t="shared" si="24"/>
        <v>0</v>
      </c>
      <c r="BF171" s="138">
        <f t="shared" si="25"/>
        <v>1716</v>
      </c>
      <c r="BG171" s="138">
        <f t="shared" si="26"/>
        <v>0</v>
      </c>
      <c r="BH171" s="138">
        <f t="shared" si="27"/>
        <v>0</v>
      </c>
      <c r="BI171" s="138">
        <f t="shared" si="28"/>
        <v>0</v>
      </c>
      <c r="BJ171" s="15" t="s">
        <v>143</v>
      </c>
      <c r="BK171" s="138">
        <f t="shared" si="29"/>
        <v>1716</v>
      </c>
      <c r="BL171" s="15" t="s">
        <v>206</v>
      </c>
      <c r="BM171" s="137" t="s">
        <v>1585</v>
      </c>
    </row>
    <row r="172" spans="2:65" s="1" customFormat="1" ht="16.5" customHeight="1">
      <c r="B172" s="126"/>
      <c r="C172" s="127" t="s">
        <v>331</v>
      </c>
      <c r="D172" s="127" t="s">
        <v>144</v>
      </c>
      <c r="E172" s="128" t="s">
        <v>1584</v>
      </c>
      <c r="F172" s="129" t="s">
        <v>1583</v>
      </c>
      <c r="G172" s="130" t="s">
        <v>147</v>
      </c>
      <c r="H172" s="131">
        <v>4</v>
      </c>
      <c r="I172" s="132">
        <v>1620</v>
      </c>
      <c r="J172" s="132">
        <f t="shared" si="20"/>
        <v>6480</v>
      </c>
      <c r="K172" s="129" t="s">
        <v>1</v>
      </c>
      <c r="L172" s="27"/>
      <c r="M172" s="133" t="s">
        <v>1</v>
      </c>
      <c r="N172" s="134" t="s">
        <v>39</v>
      </c>
      <c r="O172" s="135">
        <v>2.12</v>
      </c>
      <c r="P172" s="135">
        <f t="shared" si="21"/>
        <v>8.48</v>
      </c>
      <c r="Q172" s="135">
        <v>0</v>
      </c>
      <c r="R172" s="135">
        <f t="shared" si="22"/>
        <v>0</v>
      </c>
      <c r="S172" s="135">
        <v>0</v>
      </c>
      <c r="T172" s="136">
        <f t="shared" si="23"/>
        <v>0</v>
      </c>
      <c r="AR172" s="137" t="s">
        <v>206</v>
      </c>
      <c r="AT172" s="137" t="s">
        <v>144</v>
      </c>
      <c r="AU172" s="137" t="s">
        <v>143</v>
      </c>
      <c r="AY172" s="15" t="s">
        <v>141</v>
      </c>
      <c r="BE172" s="138">
        <f t="shared" si="24"/>
        <v>0</v>
      </c>
      <c r="BF172" s="138">
        <f t="shared" si="25"/>
        <v>6480</v>
      </c>
      <c r="BG172" s="138">
        <f t="shared" si="26"/>
        <v>0</v>
      </c>
      <c r="BH172" s="138">
        <f t="shared" si="27"/>
        <v>0</v>
      </c>
      <c r="BI172" s="138">
        <f t="shared" si="28"/>
        <v>0</v>
      </c>
      <c r="BJ172" s="15" t="s">
        <v>143</v>
      </c>
      <c r="BK172" s="138">
        <f t="shared" si="29"/>
        <v>6480</v>
      </c>
      <c r="BL172" s="15" t="s">
        <v>206</v>
      </c>
      <c r="BM172" s="137" t="s">
        <v>1582</v>
      </c>
    </row>
    <row r="173" spans="2:65" s="1" customFormat="1" ht="16.5" customHeight="1">
      <c r="B173" s="126"/>
      <c r="C173" s="127" t="s">
        <v>335</v>
      </c>
      <c r="D173" s="127" t="s">
        <v>144</v>
      </c>
      <c r="E173" s="128" t="s">
        <v>1581</v>
      </c>
      <c r="F173" s="129" t="s">
        <v>1580</v>
      </c>
      <c r="G173" s="130" t="s">
        <v>147</v>
      </c>
      <c r="H173" s="131">
        <v>8</v>
      </c>
      <c r="I173" s="132">
        <v>1435</v>
      </c>
      <c r="J173" s="132">
        <f t="shared" si="20"/>
        <v>11480</v>
      </c>
      <c r="K173" s="129" t="s">
        <v>1</v>
      </c>
      <c r="L173" s="27"/>
      <c r="M173" s="133" t="s">
        <v>1</v>
      </c>
      <c r="N173" s="134" t="s">
        <v>39</v>
      </c>
      <c r="O173" s="135">
        <v>2.12</v>
      </c>
      <c r="P173" s="135">
        <f t="shared" si="21"/>
        <v>16.96</v>
      </c>
      <c r="Q173" s="135">
        <v>0</v>
      </c>
      <c r="R173" s="135">
        <f t="shared" si="22"/>
        <v>0</v>
      </c>
      <c r="S173" s="135">
        <v>0</v>
      </c>
      <c r="T173" s="136">
        <f t="shared" si="23"/>
        <v>0</v>
      </c>
      <c r="AR173" s="137" t="s">
        <v>206</v>
      </c>
      <c r="AT173" s="137" t="s">
        <v>144</v>
      </c>
      <c r="AU173" s="137" t="s">
        <v>143</v>
      </c>
      <c r="AY173" s="15" t="s">
        <v>141</v>
      </c>
      <c r="BE173" s="138">
        <f t="shared" si="24"/>
        <v>0</v>
      </c>
      <c r="BF173" s="138">
        <f t="shared" si="25"/>
        <v>11480</v>
      </c>
      <c r="BG173" s="138">
        <f t="shared" si="26"/>
        <v>0</v>
      </c>
      <c r="BH173" s="138">
        <f t="shared" si="27"/>
        <v>0</v>
      </c>
      <c r="BI173" s="138">
        <f t="shared" si="28"/>
        <v>0</v>
      </c>
      <c r="BJ173" s="15" t="s">
        <v>143</v>
      </c>
      <c r="BK173" s="138">
        <f t="shared" si="29"/>
        <v>11480</v>
      </c>
      <c r="BL173" s="15" t="s">
        <v>206</v>
      </c>
      <c r="BM173" s="137" t="s">
        <v>1579</v>
      </c>
    </row>
    <row r="174" spans="2:65" s="1" customFormat="1" ht="16.5" customHeight="1">
      <c r="B174" s="126"/>
      <c r="C174" s="127" t="s">
        <v>339</v>
      </c>
      <c r="D174" s="127" t="s">
        <v>144</v>
      </c>
      <c r="E174" s="128" t="s">
        <v>1578</v>
      </c>
      <c r="F174" s="129" t="s">
        <v>1577</v>
      </c>
      <c r="G174" s="130" t="s">
        <v>147</v>
      </c>
      <c r="H174" s="131">
        <v>24</v>
      </c>
      <c r="I174" s="132">
        <v>1270</v>
      </c>
      <c r="J174" s="132">
        <f t="shared" si="20"/>
        <v>30480</v>
      </c>
      <c r="K174" s="129" t="s">
        <v>1</v>
      </c>
      <c r="L174" s="27"/>
      <c r="M174" s="133" t="s">
        <v>1</v>
      </c>
      <c r="N174" s="134" t="s">
        <v>39</v>
      </c>
      <c r="O174" s="135">
        <v>2.12</v>
      </c>
      <c r="P174" s="135">
        <f t="shared" si="21"/>
        <v>50.88</v>
      </c>
      <c r="Q174" s="135">
        <v>0</v>
      </c>
      <c r="R174" s="135">
        <f t="shared" si="22"/>
        <v>0</v>
      </c>
      <c r="S174" s="135">
        <v>0</v>
      </c>
      <c r="T174" s="136">
        <f t="shared" si="23"/>
        <v>0</v>
      </c>
      <c r="AR174" s="137" t="s">
        <v>206</v>
      </c>
      <c r="AT174" s="137" t="s">
        <v>144</v>
      </c>
      <c r="AU174" s="137" t="s">
        <v>143</v>
      </c>
      <c r="AY174" s="15" t="s">
        <v>141</v>
      </c>
      <c r="BE174" s="138">
        <f t="shared" si="24"/>
        <v>0</v>
      </c>
      <c r="BF174" s="138">
        <f t="shared" si="25"/>
        <v>30480</v>
      </c>
      <c r="BG174" s="138">
        <f t="shared" si="26"/>
        <v>0</v>
      </c>
      <c r="BH174" s="138">
        <f t="shared" si="27"/>
        <v>0</v>
      </c>
      <c r="BI174" s="138">
        <f t="shared" si="28"/>
        <v>0</v>
      </c>
      <c r="BJ174" s="15" t="s">
        <v>143</v>
      </c>
      <c r="BK174" s="138">
        <f t="shared" si="29"/>
        <v>30480</v>
      </c>
      <c r="BL174" s="15" t="s">
        <v>206</v>
      </c>
      <c r="BM174" s="137" t="s">
        <v>1576</v>
      </c>
    </row>
    <row r="175" spans="2:65" s="1" customFormat="1" ht="409.5">
      <c r="B175" s="126"/>
      <c r="C175" s="127" t="s">
        <v>347</v>
      </c>
      <c r="D175" s="127" t="s">
        <v>144</v>
      </c>
      <c r="E175" s="128" t="s">
        <v>1575</v>
      </c>
      <c r="F175" s="166" t="s">
        <v>1574</v>
      </c>
      <c r="G175" s="130" t="s">
        <v>1111</v>
      </c>
      <c r="H175" s="131">
        <v>2</v>
      </c>
      <c r="I175" s="132">
        <v>534000</v>
      </c>
      <c r="J175" s="132">
        <f t="shared" si="20"/>
        <v>1068000</v>
      </c>
      <c r="K175" s="129" t="s">
        <v>1</v>
      </c>
      <c r="L175" s="27"/>
      <c r="M175" s="133" t="s">
        <v>1</v>
      </c>
      <c r="N175" s="134" t="s">
        <v>39</v>
      </c>
      <c r="O175" s="135">
        <v>2.12</v>
      </c>
      <c r="P175" s="135">
        <f t="shared" si="21"/>
        <v>4.24</v>
      </c>
      <c r="Q175" s="135">
        <v>0.15</v>
      </c>
      <c r="R175" s="135">
        <f t="shared" si="22"/>
        <v>0.3</v>
      </c>
      <c r="S175" s="135">
        <v>0</v>
      </c>
      <c r="T175" s="136">
        <f t="shared" si="23"/>
        <v>0</v>
      </c>
      <c r="AR175" s="137" t="s">
        <v>206</v>
      </c>
      <c r="AT175" s="137" t="s">
        <v>144</v>
      </c>
      <c r="AU175" s="137" t="s">
        <v>143</v>
      </c>
      <c r="AY175" s="15" t="s">
        <v>141</v>
      </c>
      <c r="BE175" s="138">
        <f t="shared" si="24"/>
        <v>0</v>
      </c>
      <c r="BF175" s="138">
        <f t="shared" si="25"/>
        <v>1068000</v>
      </c>
      <c r="BG175" s="138">
        <f t="shared" si="26"/>
        <v>0</v>
      </c>
      <c r="BH175" s="138">
        <f t="shared" si="27"/>
        <v>0</v>
      </c>
      <c r="BI175" s="138">
        <f t="shared" si="28"/>
        <v>0</v>
      </c>
      <c r="BJ175" s="15" t="s">
        <v>143</v>
      </c>
      <c r="BK175" s="138">
        <f t="shared" si="29"/>
        <v>1068000</v>
      </c>
      <c r="BL175" s="15" t="s">
        <v>206</v>
      </c>
      <c r="BM175" s="137" t="s">
        <v>1573</v>
      </c>
    </row>
    <row r="176" spans="2:65" s="1" customFormat="1" ht="16.5" customHeight="1">
      <c r="B176" s="126"/>
      <c r="C176" s="127" t="s">
        <v>343</v>
      </c>
      <c r="D176" s="127" t="s">
        <v>144</v>
      </c>
      <c r="E176" s="128" t="s">
        <v>1572</v>
      </c>
      <c r="F176" s="129" t="s">
        <v>1571</v>
      </c>
      <c r="G176" s="130" t="s">
        <v>147</v>
      </c>
      <c r="H176" s="131">
        <v>14</v>
      </c>
      <c r="I176" s="132">
        <v>2066</v>
      </c>
      <c r="J176" s="132">
        <f t="shared" si="20"/>
        <v>28924</v>
      </c>
      <c r="K176" s="129" t="s">
        <v>1</v>
      </c>
      <c r="L176" s="27"/>
      <c r="M176" s="133" t="s">
        <v>1</v>
      </c>
      <c r="N176" s="134" t="s">
        <v>39</v>
      </c>
      <c r="O176" s="135">
        <v>2.12</v>
      </c>
      <c r="P176" s="135">
        <f t="shared" si="21"/>
        <v>29.68</v>
      </c>
      <c r="Q176" s="135">
        <v>0</v>
      </c>
      <c r="R176" s="135">
        <f t="shared" si="22"/>
        <v>0</v>
      </c>
      <c r="S176" s="135">
        <v>0</v>
      </c>
      <c r="T176" s="136">
        <f t="shared" si="23"/>
        <v>0</v>
      </c>
      <c r="AR176" s="137" t="s">
        <v>206</v>
      </c>
      <c r="AT176" s="137" t="s">
        <v>144</v>
      </c>
      <c r="AU176" s="137" t="s">
        <v>143</v>
      </c>
      <c r="AY176" s="15" t="s">
        <v>141</v>
      </c>
      <c r="BE176" s="138">
        <f t="shared" si="24"/>
        <v>0</v>
      </c>
      <c r="BF176" s="138">
        <f t="shared" si="25"/>
        <v>28924</v>
      </c>
      <c r="BG176" s="138">
        <f t="shared" si="26"/>
        <v>0</v>
      </c>
      <c r="BH176" s="138">
        <f t="shared" si="27"/>
        <v>0</v>
      </c>
      <c r="BI176" s="138">
        <f t="shared" si="28"/>
        <v>0</v>
      </c>
      <c r="BJ176" s="15" t="s">
        <v>143</v>
      </c>
      <c r="BK176" s="138">
        <f t="shared" si="29"/>
        <v>28924</v>
      </c>
      <c r="BL176" s="15" t="s">
        <v>206</v>
      </c>
      <c r="BM176" s="137" t="s">
        <v>1570</v>
      </c>
    </row>
    <row r="177" spans="2:65" s="1" customFormat="1" ht="16.5" customHeight="1">
      <c r="B177" s="126"/>
      <c r="C177" s="127" t="s">
        <v>351</v>
      </c>
      <c r="D177" s="127" t="s">
        <v>144</v>
      </c>
      <c r="E177" s="128" t="s">
        <v>1569</v>
      </c>
      <c r="F177" s="129" t="s">
        <v>1568</v>
      </c>
      <c r="G177" s="130" t="s">
        <v>147</v>
      </c>
      <c r="H177" s="131">
        <v>2</v>
      </c>
      <c r="I177" s="132">
        <v>28800</v>
      </c>
      <c r="J177" s="132">
        <f t="shared" si="20"/>
        <v>57600</v>
      </c>
      <c r="K177" s="129" t="s">
        <v>1</v>
      </c>
      <c r="L177" s="27"/>
      <c r="M177" s="133" t="s">
        <v>1</v>
      </c>
      <c r="N177" s="134" t="s">
        <v>39</v>
      </c>
      <c r="O177" s="135">
        <v>2.12</v>
      </c>
      <c r="P177" s="135">
        <f t="shared" si="21"/>
        <v>4.24</v>
      </c>
      <c r="Q177" s="135">
        <v>0</v>
      </c>
      <c r="R177" s="135">
        <f t="shared" si="22"/>
        <v>0</v>
      </c>
      <c r="S177" s="135">
        <v>0</v>
      </c>
      <c r="T177" s="136">
        <f t="shared" si="23"/>
        <v>0</v>
      </c>
      <c r="AR177" s="137" t="s">
        <v>206</v>
      </c>
      <c r="AT177" s="137" t="s">
        <v>144</v>
      </c>
      <c r="AU177" s="137" t="s">
        <v>143</v>
      </c>
      <c r="AY177" s="15" t="s">
        <v>141</v>
      </c>
      <c r="BE177" s="138">
        <f t="shared" si="24"/>
        <v>0</v>
      </c>
      <c r="BF177" s="138">
        <f t="shared" si="25"/>
        <v>57600</v>
      </c>
      <c r="BG177" s="138">
        <f t="shared" si="26"/>
        <v>0</v>
      </c>
      <c r="BH177" s="138">
        <f t="shared" si="27"/>
        <v>0</v>
      </c>
      <c r="BI177" s="138">
        <f t="shared" si="28"/>
        <v>0</v>
      </c>
      <c r="BJ177" s="15" t="s">
        <v>143</v>
      </c>
      <c r="BK177" s="138">
        <f t="shared" si="29"/>
        <v>57600</v>
      </c>
      <c r="BL177" s="15" t="s">
        <v>206</v>
      </c>
      <c r="BM177" s="137" t="s">
        <v>1733</v>
      </c>
    </row>
    <row r="178" spans="2:65" s="1" customFormat="1" ht="49.15" customHeight="1">
      <c r="B178" s="126"/>
      <c r="C178" s="127" t="s">
        <v>355</v>
      </c>
      <c r="D178" s="127" t="s">
        <v>144</v>
      </c>
      <c r="E178" s="128" t="s">
        <v>1566</v>
      </c>
      <c r="F178" s="129" t="s">
        <v>1565</v>
      </c>
      <c r="G178" s="130" t="s">
        <v>179</v>
      </c>
      <c r="H178" s="131">
        <v>1.863</v>
      </c>
      <c r="I178" s="132">
        <v>4210</v>
      </c>
      <c r="J178" s="132">
        <f t="shared" si="20"/>
        <v>7843.23</v>
      </c>
      <c r="K178" s="129" t="s">
        <v>148</v>
      </c>
      <c r="L178" s="27"/>
      <c r="M178" s="133" t="s">
        <v>1</v>
      </c>
      <c r="N178" s="134" t="s">
        <v>39</v>
      </c>
      <c r="O178" s="135">
        <v>8.49</v>
      </c>
      <c r="P178" s="135">
        <f t="shared" si="21"/>
        <v>15.81687</v>
      </c>
      <c r="Q178" s="135">
        <v>0</v>
      </c>
      <c r="R178" s="135">
        <f t="shared" si="22"/>
        <v>0</v>
      </c>
      <c r="S178" s="135">
        <v>0</v>
      </c>
      <c r="T178" s="136">
        <f t="shared" si="23"/>
        <v>0</v>
      </c>
      <c r="AR178" s="137" t="s">
        <v>206</v>
      </c>
      <c r="AT178" s="137" t="s">
        <v>144</v>
      </c>
      <c r="AU178" s="137" t="s">
        <v>143</v>
      </c>
      <c r="AY178" s="15" t="s">
        <v>141</v>
      </c>
      <c r="BE178" s="138">
        <f t="shared" si="24"/>
        <v>0</v>
      </c>
      <c r="BF178" s="138">
        <f t="shared" si="25"/>
        <v>7843.23</v>
      </c>
      <c r="BG178" s="138">
        <f t="shared" si="26"/>
        <v>0</v>
      </c>
      <c r="BH178" s="138">
        <f t="shared" si="27"/>
        <v>0</v>
      </c>
      <c r="BI178" s="138">
        <f t="shared" si="28"/>
        <v>0</v>
      </c>
      <c r="BJ178" s="15" t="s">
        <v>143</v>
      </c>
      <c r="BK178" s="138">
        <f t="shared" si="29"/>
        <v>7843.23</v>
      </c>
      <c r="BL178" s="15" t="s">
        <v>206</v>
      </c>
      <c r="BM178" s="137" t="s">
        <v>1564</v>
      </c>
    </row>
    <row r="179" spans="2:65" s="11" customFormat="1" ht="25.9" customHeight="1">
      <c r="B179" s="115"/>
      <c r="D179" s="116" t="s">
        <v>72</v>
      </c>
      <c r="E179" s="117" t="s">
        <v>1251</v>
      </c>
      <c r="F179" s="117" t="s">
        <v>1250</v>
      </c>
      <c r="J179" s="118">
        <f>BK179</f>
        <v>44900</v>
      </c>
      <c r="L179" s="115"/>
      <c r="M179" s="119"/>
      <c r="P179" s="120">
        <f>P180</f>
        <v>100</v>
      </c>
      <c r="R179" s="120">
        <f>R180</f>
        <v>0</v>
      </c>
      <c r="T179" s="121">
        <f>T180</f>
        <v>0</v>
      </c>
      <c r="AR179" s="116" t="s">
        <v>149</v>
      </c>
      <c r="AT179" s="122" t="s">
        <v>72</v>
      </c>
      <c r="AU179" s="122" t="s">
        <v>73</v>
      </c>
      <c r="AY179" s="116" t="s">
        <v>141</v>
      </c>
      <c r="BK179" s="123">
        <f>BK180</f>
        <v>44900</v>
      </c>
    </row>
    <row r="180" spans="2:65" s="1" customFormat="1" ht="37.9" customHeight="1">
      <c r="B180" s="126"/>
      <c r="C180" s="127" t="s">
        <v>359</v>
      </c>
      <c r="D180" s="127" t="s">
        <v>144</v>
      </c>
      <c r="E180" s="128" t="s">
        <v>1563</v>
      </c>
      <c r="F180" s="129" t="s">
        <v>1562</v>
      </c>
      <c r="G180" s="130" t="s">
        <v>1247</v>
      </c>
      <c r="H180" s="131">
        <v>100</v>
      </c>
      <c r="I180" s="132">
        <v>449</v>
      </c>
      <c r="J180" s="132">
        <f>ROUND(I180*H180,2)</f>
        <v>44900</v>
      </c>
      <c r="K180" s="129" t="s">
        <v>148</v>
      </c>
      <c r="L180" s="27"/>
      <c r="M180" s="155" t="s">
        <v>1</v>
      </c>
      <c r="N180" s="156" t="s">
        <v>39</v>
      </c>
      <c r="O180" s="157">
        <v>1</v>
      </c>
      <c r="P180" s="157">
        <f>O180*H180</f>
        <v>100</v>
      </c>
      <c r="Q180" s="157">
        <v>0</v>
      </c>
      <c r="R180" s="157">
        <f>Q180*H180</f>
        <v>0</v>
      </c>
      <c r="S180" s="157">
        <v>0</v>
      </c>
      <c r="T180" s="158">
        <f>S180*H180</f>
        <v>0</v>
      </c>
      <c r="AR180" s="137" t="s">
        <v>1246</v>
      </c>
      <c r="AT180" s="137" t="s">
        <v>144</v>
      </c>
      <c r="AU180" s="137" t="s">
        <v>81</v>
      </c>
      <c r="AY180" s="15" t="s">
        <v>141</v>
      </c>
      <c r="BE180" s="138">
        <f>IF(N180="základní",J180,0)</f>
        <v>0</v>
      </c>
      <c r="BF180" s="138">
        <f>IF(N180="snížená",J180,0)</f>
        <v>44900</v>
      </c>
      <c r="BG180" s="138">
        <f>IF(N180="zákl. přenesená",J180,0)</f>
        <v>0</v>
      </c>
      <c r="BH180" s="138">
        <f>IF(N180="sníž. přenesená",J180,0)</f>
        <v>0</v>
      </c>
      <c r="BI180" s="138">
        <f>IF(N180="nulová",J180,0)</f>
        <v>0</v>
      </c>
      <c r="BJ180" s="15" t="s">
        <v>143</v>
      </c>
      <c r="BK180" s="138">
        <f>ROUND(I180*H180,2)</f>
        <v>44900</v>
      </c>
      <c r="BL180" s="15" t="s">
        <v>1246</v>
      </c>
      <c r="BM180" s="137" t="s">
        <v>1561</v>
      </c>
    </row>
    <row r="181" spans="2:65" s="1" customFormat="1" ht="6.95" customHeight="1">
      <c r="B181" s="39"/>
      <c r="C181" s="40"/>
      <c r="D181" s="40"/>
      <c r="E181" s="40"/>
      <c r="F181" s="40"/>
      <c r="G181" s="40"/>
      <c r="H181" s="40"/>
      <c r="I181" s="40"/>
      <c r="J181" s="40"/>
      <c r="K181" s="40"/>
      <c r="L181" s="27"/>
    </row>
  </sheetData>
  <autoFilter ref="C118:K180" xr:uid="{00000000-0009-0000-0000-000005000000}"/>
  <mergeCells count="9">
    <mergeCell ref="E87:H87"/>
    <mergeCell ref="E109:H109"/>
    <mergeCell ref="E111:H11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029202-A0D2-4634-B732-841D6FA7650C}">
  <dimension ref="A1:P541"/>
  <sheetViews>
    <sheetView showGridLines="0" view="pageBreakPreview" topLeftCell="A521" zoomScale="150" zoomScaleNormal="150" zoomScaleSheetLayoutView="150" zoomScalePageLayoutView="130" workbookViewId="0">
      <selection activeCell="S521" sqref="S521"/>
    </sheetView>
  </sheetViews>
  <sheetFormatPr defaultRowHeight="12.75"/>
  <cols>
    <col min="1" max="1" width="2.83203125" style="173" customWidth="1"/>
    <col min="2" max="2" width="52.1640625" style="173" customWidth="1"/>
    <col min="3" max="3" width="3.5" style="173" customWidth="1"/>
    <col min="4" max="4" width="8.6640625" style="173" customWidth="1"/>
    <col min="5" max="5" width="11.33203125" style="173" customWidth="1"/>
    <col min="6" max="6" width="11.5" style="173" customWidth="1"/>
    <col min="7" max="8" width="11.33203125" style="173" customWidth="1"/>
    <col min="9" max="9" width="11.6640625" style="173" hidden="1" customWidth="1"/>
    <col min="10" max="16" width="0" style="173" hidden="1" customWidth="1"/>
    <col min="17" max="16384" width="9.33203125" style="173"/>
  </cols>
  <sheetData>
    <row r="1" spans="1:16">
      <c r="A1" s="211"/>
      <c r="B1" s="227" t="s">
        <v>2453</v>
      </c>
      <c r="C1" s="210"/>
      <c r="D1" s="210"/>
      <c r="E1" s="299" t="s">
        <v>2173</v>
      </c>
      <c r="F1" s="299"/>
      <c r="G1" s="299" t="s">
        <v>2172</v>
      </c>
      <c r="H1" s="299"/>
      <c r="I1" s="225">
        <v>2.1</v>
      </c>
      <c r="J1" s="225">
        <v>5.3</v>
      </c>
    </row>
    <row r="2" spans="1:16">
      <c r="A2" s="209" t="s">
        <v>2171</v>
      </c>
      <c r="B2" s="226" t="s">
        <v>2170</v>
      </c>
      <c r="C2" s="207" t="s">
        <v>2185</v>
      </c>
      <c r="D2" s="206" t="s">
        <v>2184</v>
      </c>
      <c r="E2" s="207" t="s">
        <v>2183</v>
      </c>
      <c r="F2" s="206" t="s">
        <v>2169</v>
      </c>
      <c r="G2" s="207" t="s">
        <v>2183</v>
      </c>
      <c r="H2" s="206" t="s">
        <v>2169</v>
      </c>
      <c r="I2" s="178" t="s">
        <v>2173</v>
      </c>
      <c r="J2" s="178" t="s">
        <v>2172</v>
      </c>
    </row>
    <row r="3" spans="1:16">
      <c r="A3" s="205">
        <v>1</v>
      </c>
      <c r="B3" s="230" t="s">
        <v>2452</v>
      </c>
      <c r="C3" s="222" t="s">
        <v>450</v>
      </c>
      <c r="D3" s="221">
        <f>P3-'EL-A'!D3</f>
        <v>10</v>
      </c>
      <c r="E3" s="218">
        <f>ROUND($I$1*I3,1)</f>
        <v>182.5</v>
      </c>
      <c r="F3" s="217">
        <f>PRODUCT(D3,E3)</f>
        <v>1825</v>
      </c>
      <c r="G3" s="218">
        <f>ROUND($J$1*J3,1)</f>
        <v>182.9</v>
      </c>
      <c r="H3" s="217">
        <f>PRODUCT(D3,G3)</f>
        <v>1829</v>
      </c>
      <c r="I3" s="215">
        <v>86.9</v>
      </c>
      <c r="J3" s="215">
        <v>34.5</v>
      </c>
      <c r="P3" s="221">
        <v>20</v>
      </c>
    </row>
    <row r="4" spans="1:16">
      <c r="A4" s="205">
        <f>(SUM(A3,1))</f>
        <v>2</v>
      </c>
      <c r="B4" s="230" t="s">
        <v>2215</v>
      </c>
      <c r="C4" s="222" t="s">
        <v>450</v>
      </c>
      <c r="D4" s="221">
        <f>P4-'EL-A'!D4</f>
        <v>500</v>
      </c>
      <c r="E4" s="218">
        <f>ROUND($I$1*I4,1)</f>
        <v>17.2</v>
      </c>
      <c r="F4" s="217">
        <f>PRODUCT(D4,E4)</f>
        <v>8600</v>
      </c>
      <c r="G4" s="218">
        <f>ROUND($J$1*J4,1)</f>
        <v>24.6</v>
      </c>
      <c r="H4" s="217">
        <f>PRODUCT(D4,G4)</f>
        <v>12300</v>
      </c>
      <c r="I4" s="216">
        <v>8.1999999999999993</v>
      </c>
      <c r="J4" s="215">
        <v>4.6500000000000004</v>
      </c>
      <c r="P4" s="221">
        <v>1100</v>
      </c>
    </row>
    <row r="5" spans="1:16">
      <c r="A5" s="205">
        <f>(SUM(A4,1))</f>
        <v>3</v>
      </c>
      <c r="B5" s="230" t="s">
        <v>2451</v>
      </c>
      <c r="C5" s="222" t="s">
        <v>450</v>
      </c>
      <c r="D5" s="221">
        <f>P5-'EL-A'!D5</f>
        <v>130</v>
      </c>
      <c r="E5" s="218">
        <f>ROUND($I$1*I5,1)</f>
        <v>35.700000000000003</v>
      </c>
      <c r="F5" s="217">
        <f>PRODUCT(D5,E5)</f>
        <v>4641</v>
      </c>
      <c r="G5" s="218">
        <f>ROUND($J$1*J5,1)</f>
        <v>24.6</v>
      </c>
      <c r="H5" s="217">
        <f>PRODUCT(D5,G5)</f>
        <v>3198</v>
      </c>
      <c r="I5" s="216">
        <v>17</v>
      </c>
      <c r="J5" s="215">
        <v>4.6500000000000004</v>
      </c>
      <c r="P5" s="221">
        <v>250</v>
      </c>
    </row>
    <row r="6" spans="1:16">
      <c r="A6" s="205">
        <f>(SUM(A5,1))</f>
        <v>4</v>
      </c>
      <c r="B6" s="230" t="s">
        <v>2450</v>
      </c>
      <c r="C6" s="222" t="s">
        <v>450</v>
      </c>
      <c r="D6" s="221">
        <f>P6-'EL-A'!D6</f>
        <v>80</v>
      </c>
      <c r="E6" s="218">
        <f>ROUND($I$1*I6,1)</f>
        <v>16.2</v>
      </c>
      <c r="F6" s="217">
        <f>PRODUCT(D6,E6)</f>
        <v>1296</v>
      </c>
      <c r="G6" s="218">
        <f>ROUND($J$1*J6,1)</f>
        <v>51.4</v>
      </c>
      <c r="H6" s="217">
        <f>PRODUCT(D6,G6)</f>
        <v>4112</v>
      </c>
      <c r="I6" s="216">
        <v>7.7</v>
      </c>
      <c r="J6" s="215">
        <v>9.6999999999999993</v>
      </c>
      <c r="P6" s="221">
        <v>150</v>
      </c>
    </row>
    <row r="7" spans="1:16">
      <c r="A7" s="205">
        <f>(SUM(A6,1))</f>
        <v>5</v>
      </c>
      <c r="B7" s="230" t="s">
        <v>2449</v>
      </c>
      <c r="C7" s="222" t="s">
        <v>450</v>
      </c>
      <c r="D7" s="221">
        <f>P7-'EL-A'!D7</f>
        <v>70</v>
      </c>
      <c r="E7" s="218">
        <f>ROUND($I$1*I7,1)</f>
        <v>36.5</v>
      </c>
      <c r="F7" s="217">
        <f>PRODUCT(D7,E7)</f>
        <v>2555</v>
      </c>
      <c r="G7" s="218">
        <f>ROUND($J$1*J7,1)</f>
        <v>54.6</v>
      </c>
      <c r="H7" s="217">
        <f>PRODUCT(D7,G7)</f>
        <v>3822</v>
      </c>
      <c r="I7" s="216">
        <v>17.399999999999999</v>
      </c>
      <c r="J7" s="215">
        <v>10.3</v>
      </c>
      <c r="P7" s="221">
        <v>150</v>
      </c>
    </row>
    <row r="8" spans="1:16">
      <c r="A8" s="205">
        <f>(SUM(A7,1))</f>
        <v>6</v>
      </c>
      <c r="B8" s="230" t="s">
        <v>2249</v>
      </c>
      <c r="C8" s="222" t="s">
        <v>450</v>
      </c>
      <c r="D8" s="221">
        <f>P8-'EL-A'!D8</f>
        <v>5</v>
      </c>
      <c r="E8" s="218">
        <f>ROUND($I$1*I8,1)</f>
        <v>219.9</v>
      </c>
      <c r="F8" s="217">
        <f>PRODUCT(D8,E8)</f>
        <v>1099.5</v>
      </c>
      <c r="G8" s="218">
        <f>ROUND($J$1*J8,1)</f>
        <v>113.4</v>
      </c>
      <c r="H8" s="217">
        <f>PRODUCT(D8,G8)</f>
        <v>567</v>
      </c>
      <c r="I8" s="216">
        <v>104.7</v>
      </c>
      <c r="J8" s="215">
        <v>21.4</v>
      </c>
      <c r="P8" s="221">
        <v>10</v>
      </c>
    </row>
    <row r="9" spans="1:16">
      <c r="A9" s="205">
        <f>(SUM(A8,1))</f>
        <v>7</v>
      </c>
      <c r="B9" s="230" t="s">
        <v>2448</v>
      </c>
      <c r="C9" s="222" t="s">
        <v>450</v>
      </c>
      <c r="D9" s="221">
        <f>P9-'EL-A'!D9</f>
        <v>30</v>
      </c>
      <c r="E9" s="218">
        <f>ROUND($I$1*I9,1)</f>
        <v>814.8</v>
      </c>
      <c r="F9" s="217">
        <f>PRODUCT(D9,E9)</f>
        <v>24444</v>
      </c>
      <c r="G9" s="218">
        <f>ROUND($J$1*J9,1)</f>
        <v>106</v>
      </c>
      <c r="H9" s="217">
        <f>PRODUCT(D9,G9)</f>
        <v>3180</v>
      </c>
      <c r="I9" s="215">
        <v>388</v>
      </c>
      <c r="J9" s="215">
        <v>20</v>
      </c>
      <c r="P9" s="221">
        <v>60</v>
      </c>
    </row>
    <row r="10" spans="1:16">
      <c r="A10" s="205">
        <f>(SUM(A9,1))</f>
        <v>8</v>
      </c>
      <c r="B10" s="223" t="s">
        <v>2217</v>
      </c>
      <c r="C10" s="222" t="s">
        <v>193</v>
      </c>
      <c r="D10" s="221">
        <f>P10-'EL-A'!D11</f>
        <v>40</v>
      </c>
      <c r="E10" s="218">
        <f>ROUND($I$1*I10,1)</f>
        <v>17.899999999999999</v>
      </c>
      <c r="F10" s="217">
        <f>PRODUCT(D10,E10)</f>
        <v>716</v>
      </c>
      <c r="G10" s="218">
        <f>ROUND($J$1*J10,1)</f>
        <v>22.3</v>
      </c>
      <c r="H10" s="217">
        <f>PRODUCT(D10,G10)</f>
        <v>892</v>
      </c>
      <c r="I10" s="215">
        <v>8.5</v>
      </c>
      <c r="J10" s="215">
        <v>4.2</v>
      </c>
      <c r="P10" s="221">
        <v>80</v>
      </c>
    </row>
    <row r="11" spans="1:16">
      <c r="A11" s="205">
        <f>(SUM(A10,1))</f>
        <v>9</v>
      </c>
      <c r="B11" s="223" t="s">
        <v>2446</v>
      </c>
      <c r="C11" s="222" t="s">
        <v>193</v>
      </c>
      <c r="D11" s="221">
        <v>20</v>
      </c>
      <c r="E11" s="218">
        <f>ROUND($I$1*I11,1)</f>
        <v>28.4</v>
      </c>
      <c r="F11" s="217">
        <f>PRODUCT(D11,E11)</f>
        <v>568</v>
      </c>
      <c r="G11" s="218">
        <f>ROUND($J$1*J11,1)</f>
        <v>21.7</v>
      </c>
      <c r="H11" s="217">
        <f>PRODUCT(D11,G11)</f>
        <v>434</v>
      </c>
      <c r="I11" s="215">
        <v>13.5</v>
      </c>
      <c r="J11" s="215">
        <v>4.0999999999999996</v>
      </c>
    </row>
    <row r="12" spans="1:16">
      <c r="A12" s="205">
        <f>(SUM(A11,1))</f>
        <v>10</v>
      </c>
      <c r="B12" s="223" t="s">
        <v>2445</v>
      </c>
      <c r="C12" s="222" t="s">
        <v>193</v>
      </c>
      <c r="D12" s="221">
        <v>10</v>
      </c>
      <c r="E12" s="218">
        <f>ROUND($I$1*I12,1)</f>
        <v>38.200000000000003</v>
      </c>
      <c r="F12" s="217">
        <f>PRODUCT(D12,E12)</f>
        <v>382</v>
      </c>
      <c r="G12" s="218">
        <f>ROUND($J$1*J12,1)</f>
        <v>22.3</v>
      </c>
      <c r="H12" s="217">
        <f>PRODUCT(D12,G12)</f>
        <v>223</v>
      </c>
      <c r="I12" s="215">
        <v>18.2</v>
      </c>
      <c r="J12" s="215">
        <v>4.2</v>
      </c>
    </row>
    <row r="13" spans="1:16">
      <c r="A13" s="205">
        <f>(SUM(A12,1))</f>
        <v>11</v>
      </c>
      <c r="B13" s="223" t="s">
        <v>2444</v>
      </c>
      <c r="C13" s="222" t="s">
        <v>193</v>
      </c>
      <c r="D13" s="221">
        <v>10</v>
      </c>
      <c r="E13" s="218">
        <f>ROUND($I$1*I13,1)</f>
        <v>56.5</v>
      </c>
      <c r="F13" s="217">
        <f>PRODUCT(D13,E13)</f>
        <v>565</v>
      </c>
      <c r="G13" s="218">
        <f>ROUND($J$1*J13,1)</f>
        <v>22.3</v>
      </c>
      <c r="H13" s="217">
        <f>PRODUCT(D13,G13)</f>
        <v>223</v>
      </c>
      <c r="I13" s="215">
        <v>26.9</v>
      </c>
      <c r="J13" s="215">
        <v>4.2</v>
      </c>
    </row>
    <row r="14" spans="1:16">
      <c r="A14" s="205">
        <f>(SUM(A13,1))</f>
        <v>12</v>
      </c>
      <c r="B14" s="223" t="s">
        <v>2443</v>
      </c>
      <c r="C14" s="222" t="s">
        <v>193</v>
      </c>
      <c r="D14" s="221">
        <v>20</v>
      </c>
      <c r="E14" s="218">
        <f>ROUND($I$1*I14,1)</f>
        <v>85.7</v>
      </c>
      <c r="F14" s="217">
        <f>PRODUCT(D14,E14)</f>
        <v>1714</v>
      </c>
      <c r="G14" s="218">
        <f>ROUND($J$1*J14,1)</f>
        <v>22.3</v>
      </c>
      <c r="H14" s="217">
        <f>PRODUCT(D14,G14)</f>
        <v>446</v>
      </c>
      <c r="I14" s="215">
        <v>40.799999999999997</v>
      </c>
      <c r="J14" s="215">
        <v>4.2</v>
      </c>
    </row>
    <row r="15" spans="1:16">
      <c r="A15" s="205">
        <f>(SUM(A14,1))</f>
        <v>13</v>
      </c>
      <c r="B15" s="223" t="s">
        <v>2442</v>
      </c>
      <c r="C15" s="222" t="s">
        <v>193</v>
      </c>
      <c r="D15" s="221">
        <v>10</v>
      </c>
      <c r="E15" s="218">
        <f>ROUND($I$1*I15,1)</f>
        <v>72.5</v>
      </c>
      <c r="F15" s="217">
        <f>PRODUCT(D15,E15)</f>
        <v>725</v>
      </c>
      <c r="G15" s="218">
        <f>ROUND($J$1*J15,1)</f>
        <v>21.7</v>
      </c>
      <c r="H15" s="217">
        <f>PRODUCT(D15,G15)</f>
        <v>217</v>
      </c>
      <c r="I15" s="215">
        <v>34.5</v>
      </c>
      <c r="J15" s="215">
        <v>4.0999999999999996</v>
      </c>
    </row>
    <row r="16" spans="1:16">
      <c r="A16" s="205">
        <f>(SUM(A15,1))</f>
        <v>14</v>
      </c>
      <c r="B16" s="223" t="s">
        <v>2441</v>
      </c>
      <c r="C16" s="222" t="s">
        <v>193</v>
      </c>
      <c r="D16" s="221">
        <v>20</v>
      </c>
      <c r="E16" s="218">
        <f>ROUND($I$1*I16,1)</f>
        <v>103.1</v>
      </c>
      <c r="F16" s="217">
        <f>PRODUCT(D16,E16)</f>
        <v>2062</v>
      </c>
      <c r="G16" s="218">
        <f>ROUND($J$1*J16,1)</f>
        <v>21.7</v>
      </c>
      <c r="H16" s="217">
        <f>PRODUCT(D16,G16)</f>
        <v>434</v>
      </c>
      <c r="I16" s="215">
        <v>49.1</v>
      </c>
      <c r="J16" s="215">
        <v>4.0999999999999996</v>
      </c>
    </row>
    <row r="17" spans="1:16">
      <c r="A17" s="205">
        <f>(SUM(A16,1))</f>
        <v>15</v>
      </c>
      <c r="B17" s="223" t="s">
        <v>2440</v>
      </c>
      <c r="C17" s="222" t="s">
        <v>193</v>
      </c>
      <c r="D17" s="221">
        <v>20</v>
      </c>
      <c r="E17" s="218">
        <f>ROUND($I$1*I17,1)</f>
        <v>116.1</v>
      </c>
      <c r="F17" s="217">
        <f>PRODUCT(D17,E17)</f>
        <v>2322</v>
      </c>
      <c r="G17" s="218">
        <f>ROUND($J$1*J17,1)</f>
        <v>21.7</v>
      </c>
      <c r="H17" s="217">
        <f>PRODUCT(D17,G17)</f>
        <v>434</v>
      </c>
      <c r="I17" s="215">
        <v>55.3</v>
      </c>
      <c r="J17" s="215">
        <v>4.0999999999999996</v>
      </c>
    </row>
    <row r="18" spans="1:16">
      <c r="A18" s="205">
        <f>(SUM(A17,1))</f>
        <v>16</v>
      </c>
      <c r="B18" s="223" t="s">
        <v>2439</v>
      </c>
      <c r="C18" s="222" t="s">
        <v>193</v>
      </c>
      <c r="D18" s="221">
        <v>30</v>
      </c>
      <c r="E18" s="218">
        <f>ROUND($I$1*I18,1)</f>
        <v>141.1</v>
      </c>
      <c r="F18" s="217">
        <f>PRODUCT(D18,E18)</f>
        <v>4233</v>
      </c>
      <c r="G18" s="218">
        <f>ROUND($J$1*J18,1)</f>
        <v>21.7</v>
      </c>
      <c r="H18" s="217">
        <f>PRODUCT(D18,G18)</f>
        <v>651</v>
      </c>
      <c r="I18" s="215">
        <v>67.2</v>
      </c>
      <c r="J18" s="215">
        <v>4.0999999999999996</v>
      </c>
    </row>
    <row r="19" spans="1:16">
      <c r="A19" s="205">
        <f>(SUM(A18,1))</f>
        <v>17</v>
      </c>
      <c r="B19" s="223" t="s">
        <v>2438</v>
      </c>
      <c r="C19" s="222" t="s">
        <v>193</v>
      </c>
      <c r="D19" s="221">
        <v>5</v>
      </c>
      <c r="E19" s="218">
        <f>ROUND($I$1*I19,1)</f>
        <v>38.200000000000003</v>
      </c>
      <c r="F19" s="217">
        <f>PRODUCT(D19,E19)</f>
        <v>191</v>
      </c>
      <c r="G19" s="218">
        <f>ROUND($J$1*J19,1)</f>
        <v>46.1</v>
      </c>
      <c r="H19" s="217">
        <f>PRODUCT(D19,G19)</f>
        <v>230.5</v>
      </c>
      <c r="I19" s="215">
        <v>18.2</v>
      </c>
      <c r="J19" s="215">
        <v>8.6999999999999993</v>
      </c>
    </row>
    <row r="20" spans="1:16">
      <c r="A20" s="205">
        <f>(SUM(A19,1))</f>
        <v>18</v>
      </c>
      <c r="B20" s="223" t="s">
        <v>2437</v>
      </c>
      <c r="C20" s="222" t="s">
        <v>193</v>
      </c>
      <c r="D20" s="221">
        <v>20</v>
      </c>
      <c r="E20" s="218">
        <f>ROUND($I$1*I20,1)</f>
        <v>116.3</v>
      </c>
      <c r="F20" s="217">
        <f>PRODUCT(D20,E20)</f>
        <v>2326</v>
      </c>
      <c r="G20" s="218">
        <f>ROUND($J$1*J20,1)</f>
        <v>46.6</v>
      </c>
      <c r="H20" s="217">
        <f>PRODUCT(D20,G20)</f>
        <v>932</v>
      </c>
      <c r="I20" s="215">
        <v>55.4</v>
      </c>
      <c r="J20" s="215">
        <v>8.8000000000000007</v>
      </c>
    </row>
    <row r="21" spans="1:16">
      <c r="A21" s="205">
        <f>(SUM(A20,1))</f>
        <v>19</v>
      </c>
      <c r="B21" s="223" t="s">
        <v>2224</v>
      </c>
      <c r="C21" s="222" t="s">
        <v>193</v>
      </c>
      <c r="D21" s="221">
        <v>15</v>
      </c>
      <c r="E21" s="218">
        <f>ROUND($I$1*I21,1)</f>
        <v>516.6</v>
      </c>
      <c r="F21" s="217">
        <f>PRODUCT(D21,E21)</f>
        <v>7749</v>
      </c>
      <c r="G21" s="218">
        <f>ROUND($J$1*J21,1)</f>
        <v>177.6</v>
      </c>
      <c r="H21" s="217">
        <f>PRODUCT(D21,G21)</f>
        <v>2664</v>
      </c>
      <c r="I21" s="216">
        <f>164*1.5</f>
        <v>246</v>
      </c>
      <c r="J21" s="215">
        <v>33.5</v>
      </c>
    </row>
    <row r="22" spans="1:16">
      <c r="A22" s="205">
        <f>(SUM(A21,1))</f>
        <v>20</v>
      </c>
      <c r="B22" s="223" t="s">
        <v>2216</v>
      </c>
      <c r="C22" s="222" t="s">
        <v>193</v>
      </c>
      <c r="D22" s="221">
        <v>15</v>
      </c>
      <c r="E22" s="218">
        <f>ROUND($I$1*I22,1)</f>
        <v>352.8</v>
      </c>
      <c r="F22" s="217">
        <f>PRODUCT(D22,E22)</f>
        <v>5292</v>
      </c>
      <c r="G22" s="218">
        <f>ROUND($J$1*J22,1)</f>
        <v>161.69999999999999</v>
      </c>
      <c r="H22" s="217">
        <f>PRODUCT(D22,G22)</f>
        <v>2425.5</v>
      </c>
      <c r="I22" s="216">
        <f>112*1.5</f>
        <v>168</v>
      </c>
      <c r="J22" s="215">
        <v>30.5</v>
      </c>
    </row>
    <row r="23" spans="1:16">
      <c r="A23" s="205">
        <f>(SUM(A22,1))</f>
        <v>21</v>
      </c>
      <c r="B23" s="223" t="s">
        <v>2436</v>
      </c>
      <c r="C23" s="222" t="s">
        <v>193</v>
      </c>
      <c r="D23" s="221">
        <f>P23-'EL-A'!D24</f>
        <v>100</v>
      </c>
      <c r="E23" s="218">
        <f>ROUND($I$1*I23,1)</f>
        <v>44.9</v>
      </c>
      <c r="F23" s="217">
        <f>PRODUCT(D23,E23)</f>
        <v>4490</v>
      </c>
      <c r="G23" s="218">
        <f>ROUND($J$1*J23,1)</f>
        <v>27.6</v>
      </c>
      <c r="H23" s="217">
        <f>PRODUCT(D23,G23)</f>
        <v>2760</v>
      </c>
      <c r="I23" s="215">
        <v>21.4</v>
      </c>
      <c r="J23" s="215">
        <v>5.2</v>
      </c>
      <c r="P23" s="221">
        <v>200</v>
      </c>
    </row>
    <row r="24" spans="1:16">
      <c r="A24" s="205">
        <f>(SUM(A23,1))</f>
        <v>22</v>
      </c>
      <c r="B24" s="223" t="s">
        <v>2435</v>
      </c>
      <c r="C24" s="222" t="s">
        <v>193</v>
      </c>
      <c r="D24" s="221">
        <f>P24-'EL-A'!D25</f>
        <v>150</v>
      </c>
      <c r="E24" s="218">
        <f>ROUND($I$1*I24,1)</f>
        <v>44.9</v>
      </c>
      <c r="F24" s="217">
        <f>PRODUCT(D24,E24)</f>
        <v>6735</v>
      </c>
      <c r="G24" s="218">
        <f>ROUND($J$1*J24,1)</f>
        <v>27.6</v>
      </c>
      <c r="H24" s="217">
        <f>PRODUCT(D24,G24)</f>
        <v>4140</v>
      </c>
      <c r="I24" s="215">
        <v>21.4</v>
      </c>
      <c r="J24" s="215">
        <v>5.2</v>
      </c>
      <c r="P24" s="221">
        <v>300</v>
      </c>
    </row>
    <row r="25" spans="1:16">
      <c r="A25" s="205">
        <f>(SUM(A24,1))</f>
        <v>23</v>
      </c>
      <c r="B25" s="223" t="s">
        <v>2434</v>
      </c>
      <c r="C25" s="222" t="s">
        <v>193</v>
      </c>
      <c r="D25" s="221">
        <f>P25-'EL-A'!D26</f>
        <v>2000</v>
      </c>
      <c r="E25" s="218">
        <f>ROUND($I$1*I25,1)</f>
        <v>44.9</v>
      </c>
      <c r="F25" s="217">
        <f>PRODUCT(D25,E25)</f>
        <v>89800</v>
      </c>
      <c r="G25" s="218">
        <f>ROUND($J$1*J25,1)</f>
        <v>27.6</v>
      </c>
      <c r="H25" s="217">
        <f>PRODUCT(D25,G25)</f>
        <v>55200</v>
      </c>
      <c r="I25" s="215">
        <v>21.4</v>
      </c>
      <c r="J25" s="215">
        <v>5.2</v>
      </c>
      <c r="P25" s="221">
        <v>4000</v>
      </c>
    </row>
    <row r="26" spans="1:16">
      <c r="A26" s="205">
        <f>(SUM(A25,1))</f>
        <v>24</v>
      </c>
      <c r="B26" s="223" t="s">
        <v>2433</v>
      </c>
      <c r="C26" s="222" t="s">
        <v>193</v>
      </c>
      <c r="D26" s="221">
        <f>P26-'EL-A'!D27</f>
        <v>2500</v>
      </c>
      <c r="E26" s="218">
        <f>ROUND(I26*$I$1,1)</f>
        <v>73.3</v>
      </c>
      <c r="F26" s="217">
        <f>PRODUCT(D26,E26)</f>
        <v>183250</v>
      </c>
      <c r="G26" s="218">
        <f>ROUND(J26*$J$1,1)</f>
        <v>27.6</v>
      </c>
      <c r="H26" s="217">
        <f>PRODUCT(D26,G26)</f>
        <v>69000</v>
      </c>
      <c r="I26" s="215">
        <v>34.909999999999997</v>
      </c>
      <c r="J26" s="215">
        <v>5.2</v>
      </c>
      <c r="P26" s="221">
        <v>4900</v>
      </c>
    </row>
    <row r="27" spans="1:16">
      <c r="A27" s="205">
        <f>(SUM(A26,1))</f>
        <v>25</v>
      </c>
      <c r="B27" s="223" t="s">
        <v>2387</v>
      </c>
      <c r="C27" s="222" t="s">
        <v>193</v>
      </c>
      <c r="D27" s="221">
        <v>2500</v>
      </c>
      <c r="E27" s="218">
        <f>ROUND(I27*$I$1,1)</f>
        <v>74</v>
      </c>
      <c r="F27" s="217">
        <f>PRODUCT(D27,E27)</f>
        <v>185000</v>
      </c>
      <c r="G27" s="218">
        <f>ROUND(J27*$J$1,1)</f>
        <v>27.6</v>
      </c>
      <c r="H27" s="217">
        <f>PRODUCT(D27,G27)</f>
        <v>69000</v>
      </c>
      <c r="I27" s="215">
        <v>35.229999999999997</v>
      </c>
      <c r="J27" s="215">
        <v>5.2</v>
      </c>
      <c r="P27" s="221">
        <v>5000</v>
      </c>
    </row>
    <row r="28" spans="1:16">
      <c r="A28" s="205">
        <f>(SUM(A27,1))</f>
        <v>26</v>
      </c>
      <c r="B28" s="223" t="s">
        <v>2388</v>
      </c>
      <c r="C28" s="222" t="s">
        <v>193</v>
      </c>
      <c r="D28" s="221">
        <v>240</v>
      </c>
      <c r="E28" s="218">
        <f>ROUND(I28*$I$1,1)</f>
        <v>114.5</v>
      </c>
      <c r="F28" s="217">
        <f>PRODUCT(D28,E28)</f>
        <v>27480</v>
      </c>
      <c r="G28" s="218">
        <f>ROUND(J28*$J$1,1)</f>
        <v>27.6</v>
      </c>
      <c r="H28" s="217">
        <f>PRODUCT(D28,G28)</f>
        <v>6624</v>
      </c>
      <c r="I28" s="215">
        <v>54.5</v>
      </c>
      <c r="J28" s="215">
        <v>5.2</v>
      </c>
      <c r="P28" s="221">
        <v>600</v>
      </c>
    </row>
    <row r="29" spans="1:16">
      <c r="A29" s="205">
        <f>(SUM(A28,1))</f>
        <v>27</v>
      </c>
      <c r="B29" s="223" t="s">
        <v>2432</v>
      </c>
      <c r="C29" s="222" t="s">
        <v>193</v>
      </c>
      <c r="D29" s="221">
        <v>30</v>
      </c>
      <c r="E29" s="218">
        <f>ROUND(I29*$I$1,1)</f>
        <v>174.4</v>
      </c>
      <c r="F29" s="217">
        <f>PRODUCT(D29,E29)</f>
        <v>5232</v>
      </c>
      <c r="G29" s="218">
        <f>ROUND(J29*$J$1,1)</f>
        <v>27.6</v>
      </c>
      <c r="H29" s="217">
        <f>PRODUCT(D29,G29)</f>
        <v>828</v>
      </c>
      <c r="I29" s="215">
        <v>83.06</v>
      </c>
      <c r="J29" s="215">
        <v>5.2</v>
      </c>
    </row>
    <row r="30" spans="1:16">
      <c r="A30" s="205">
        <f>(SUM(A29,1))</f>
        <v>28</v>
      </c>
      <c r="B30" s="223" t="s">
        <v>2389</v>
      </c>
      <c r="C30" s="222" t="s">
        <v>193</v>
      </c>
      <c r="D30" s="221">
        <v>20</v>
      </c>
      <c r="E30" s="218">
        <f>ROUND(I30*$I$1,1)</f>
        <v>528.4</v>
      </c>
      <c r="F30" s="217">
        <f>PRODUCT(D30,E30)</f>
        <v>10568</v>
      </c>
      <c r="G30" s="218">
        <f>ROUND(J30*$J$1,1)</f>
        <v>38.200000000000003</v>
      </c>
      <c r="H30" s="217">
        <f>PRODUCT(D30,G30)</f>
        <v>764</v>
      </c>
      <c r="I30" s="215">
        <v>251.64</v>
      </c>
      <c r="J30" s="215">
        <v>7.2</v>
      </c>
    </row>
    <row r="31" spans="1:16">
      <c r="A31" s="205">
        <f>(SUM(A30,1))</f>
        <v>29</v>
      </c>
      <c r="B31" s="223" t="s">
        <v>2431</v>
      </c>
      <c r="C31" s="222" t="s">
        <v>193</v>
      </c>
      <c r="D31" s="300">
        <v>360</v>
      </c>
      <c r="E31" s="218">
        <f>ROUND(I31*$I$1,1)</f>
        <v>37.799999999999997</v>
      </c>
      <c r="F31" s="217">
        <f>PRODUCT(D31,E31)</f>
        <v>13607.999999999998</v>
      </c>
      <c r="G31" s="218">
        <f>ROUND(J31*$J$1,1)</f>
        <v>15.4</v>
      </c>
      <c r="H31" s="217">
        <f>PRODUCT(D31,G31)</f>
        <v>5544</v>
      </c>
      <c r="I31" s="215">
        <v>18</v>
      </c>
      <c r="J31" s="215">
        <v>2.9</v>
      </c>
    </row>
    <row r="32" spans="1:16">
      <c r="A32" s="205">
        <f>(SUM(A31,1))</f>
        <v>30</v>
      </c>
      <c r="B32" s="223" t="s">
        <v>2430</v>
      </c>
      <c r="C32" s="222" t="s">
        <v>193</v>
      </c>
      <c r="D32" s="221">
        <f>P32-'EL-A'!D33</f>
        <v>20</v>
      </c>
      <c r="E32" s="218">
        <f>ROUND($I$1*I32,1)</f>
        <v>116.2</v>
      </c>
      <c r="F32" s="217">
        <f>PRODUCT(D32,E32)</f>
        <v>2324</v>
      </c>
      <c r="G32" s="218">
        <f>ROUND($J$1*J32,1)</f>
        <v>27.6</v>
      </c>
      <c r="H32" s="217">
        <f>PRODUCT(D32,G32)</f>
        <v>552</v>
      </c>
      <c r="I32" s="216">
        <v>55.32</v>
      </c>
      <c r="J32" s="215">
        <v>5.2</v>
      </c>
      <c r="P32" s="221">
        <v>50</v>
      </c>
    </row>
    <row r="33" spans="1:16">
      <c r="A33" s="205">
        <f>(SUM(A32,1))</f>
        <v>31</v>
      </c>
      <c r="B33" s="223" t="s">
        <v>2429</v>
      </c>
      <c r="C33" s="222" t="s">
        <v>450</v>
      </c>
      <c r="D33" s="221">
        <f>P33-'EL-A'!D34</f>
        <v>163</v>
      </c>
      <c r="E33" s="218">
        <f>ROUND($I$1*I33,1)</f>
        <v>304.39999999999998</v>
      </c>
      <c r="F33" s="217">
        <f>PRODUCT(D33,E33)</f>
        <v>49617.2</v>
      </c>
      <c r="G33" s="218">
        <f>ROUND($J$1*J33,1)</f>
        <v>62.5</v>
      </c>
      <c r="H33" s="217">
        <f>PRODUCT(D33,G33)</f>
        <v>10187.5</v>
      </c>
      <c r="I33" s="216">
        <v>144.96</v>
      </c>
      <c r="J33" s="215">
        <v>11.8</v>
      </c>
      <c r="P33" s="221">
        <v>305</v>
      </c>
    </row>
    <row r="34" spans="1:16">
      <c r="A34" s="205">
        <f>(SUM(A33,1))</f>
        <v>32</v>
      </c>
      <c r="B34" s="223" t="s">
        <v>2428</v>
      </c>
      <c r="C34" s="222" t="s">
        <v>450</v>
      </c>
      <c r="D34" s="221">
        <f>P34-'EL-A'!D35</f>
        <v>148</v>
      </c>
      <c r="E34" s="218">
        <f>ROUND($I$1*I34,1)</f>
        <v>248.2</v>
      </c>
      <c r="F34" s="217">
        <f>PRODUCT(D34,E34)</f>
        <v>36733.599999999999</v>
      </c>
      <c r="G34" s="218">
        <f>ROUND($J$1*J34,1)</f>
        <v>62.5</v>
      </c>
      <c r="H34" s="217">
        <f>PRODUCT(D34,G34)</f>
        <v>9250</v>
      </c>
      <c r="I34" s="216">
        <f>99.82+18.36</f>
        <v>118.17999999999999</v>
      </c>
      <c r="J34" s="215">
        <v>11.8</v>
      </c>
      <c r="P34" s="221">
        <v>280</v>
      </c>
    </row>
    <row r="35" spans="1:16">
      <c r="A35" s="205">
        <f>(SUM(A34,1))</f>
        <v>33</v>
      </c>
      <c r="B35" s="223" t="s">
        <v>2427</v>
      </c>
      <c r="C35" s="222" t="s">
        <v>450</v>
      </c>
      <c r="D35" s="221">
        <f>P35-'EL-A'!D36</f>
        <v>42</v>
      </c>
      <c r="E35" s="218">
        <f>ROUND($I$1*I35,1)</f>
        <v>2415</v>
      </c>
      <c r="F35" s="217">
        <f>PRODUCT(D35,E35)</f>
        <v>101430</v>
      </c>
      <c r="G35" s="218">
        <f>ROUND($J$1*J35,1)</f>
        <v>62.5</v>
      </c>
      <c r="H35" s="217">
        <f>PRODUCT(D35,G35)</f>
        <v>2625</v>
      </c>
      <c r="I35" s="216">
        <v>1150</v>
      </c>
      <c r="J35" s="215">
        <v>11.8</v>
      </c>
      <c r="P35" s="221">
        <v>70</v>
      </c>
    </row>
    <row r="36" spans="1:16">
      <c r="A36" s="205">
        <f>(SUM(A35,1))</f>
        <v>34</v>
      </c>
      <c r="B36" s="223" t="s">
        <v>2426</v>
      </c>
      <c r="C36" s="222" t="s">
        <v>450</v>
      </c>
      <c r="D36" s="221">
        <f>P36-'EL-A'!D37</f>
        <v>35</v>
      </c>
      <c r="E36" s="218">
        <f>ROUND($I$1*I36,1)</f>
        <v>390.4</v>
      </c>
      <c r="F36" s="217">
        <f>PRODUCT(D36,E36)</f>
        <v>13664</v>
      </c>
      <c r="G36" s="218">
        <f>ROUND($J$1*J36,1)</f>
        <v>114</v>
      </c>
      <c r="H36" s="217">
        <f>PRODUCT(D36,G36)</f>
        <v>3990</v>
      </c>
      <c r="I36" s="216">
        <v>185.9</v>
      </c>
      <c r="J36" s="215">
        <v>21.5</v>
      </c>
      <c r="P36" s="221">
        <v>70</v>
      </c>
    </row>
    <row r="37" spans="1:16">
      <c r="A37" s="205">
        <f>(SUM(A36,1))</f>
        <v>35</v>
      </c>
      <c r="B37" s="223" t="s">
        <v>2424</v>
      </c>
      <c r="C37" s="222" t="s">
        <v>450</v>
      </c>
      <c r="D37" s="221">
        <f>P37-'EL-A'!D39</f>
        <v>12</v>
      </c>
      <c r="E37" s="218">
        <f>ROUND($I$1*I37,1)</f>
        <v>268.8</v>
      </c>
      <c r="F37" s="217">
        <f>PRODUCT(D37,E37)</f>
        <v>3225.6000000000004</v>
      </c>
      <c r="G37" s="218">
        <f>ROUND($J$1*J37,1)</f>
        <v>39.799999999999997</v>
      </c>
      <c r="H37" s="217">
        <f>PRODUCT(D37,G37)</f>
        <v>477.59999999999997</v>
      </c>
      <c r="I37" s="215">
        <f>80.29+18.36+29.36</f>
        <v>128.01</v>
      </c>
      <c r="J37" s="215">
        <v>7.5</v>
      </c>
      <c r="P37" s="221">
        <v>18</v>
      </c>
    </row>
    <row r="38" spans="1:16">
      <c r="A38" s="205">
        <f>(SUM(A37,1))</f>
        <v>36</v>
      </c>
      <c r="B38" s="223" t="s">
        <v>2423</v>
      </c>
      <c r="C38" s="222" t="s">
        <v>450</v>
      </c>
      <c r="D38" s="221">
        <f>P38-'EL-A'!D40</f>
        <v>28</v>
      </c>
      <c r="E38" s="218">
        <f>ROUND($I$1*I38,1)</f>
        <v>428.5</v>
      </c>
      <c r="F38" s="217">
        <f>PRODUCT(D38,E38)</f>
        <v>11998</v>
      </c>
      <c r="G38" s="218">
        <f>ROUND($J$1*J38,1)</f>
        <v>50.9</v>
      </c>
      <c r="H38" s="217">
        <f>PRODUCT(D38,G38)</f>
        <v>1425.2</v>
      </c>
      <c r="I38" s="215">
        <f>136.28+18.36+49.39</f>
        <v>204.02999999999997</v>
      </c>
      <c r="J38" s="215">
        <v>9.6</v>
      </c>
      <c r="P38" s="221">
        <v>50</v>
      </c>
    </row>
    <row r="39" spans="1:16">
      <c r="A39" s="205">
        <f>(SUM(A38,1))</f>
        <v>37</v>
      </c>
      <c r="B39" s="223" t="s">
        <v>2422</v>
      </c>
      <c r="C39" s="222" t="s">
        <v>450</v>
      </c>
      <c r="D39" s="221">
        <f>P39-'EL-A'!D41</f>
        <v>73</v>
      </c>
      <c r="E39" s="218">
        <f>ROUND($I$1*I39,1)</f>
        <v>482.9</v>
      </c>
      <c r="F39" s="217">
        <f>PRODUCT(D39,E39)</f>
        <v>35251.699999999997</v>
      </c>
      <c r="G39" s="218">
        <f>ROUND($J$1*J39,1)</f>
        <v>50.9</v>
      </c>
      <c r="H39" s="217">
        <f>PRODUCT(D39,G39)</f>
        <v>3715.7</v>
      </c>
      <c r="I39" s="215">
        <f>162.22+18.36+49.39</f>
        <v>229.96999999999997</v>
      </c>
      <c r="J39" s="215">
        <v>9.6</v>
      </c>
      <c r="P39" s="221">
        <v>140</v>
      </c>
    </row>
    <row r="40" spans="1:16">
      <c r="A40" s="205">
        <f>(SUM(A39,1))</f>
        <v>38</v>
      </c>
      <c r="B40" s="223" t="s">
        <v>2421</v>
      </c>
      <c r="C40" s="222" t="s">
        <v>450</v>
      </c>
      <c r="D40" s="221">
        <f>P40-'EL-A'!D42</f>
        <v>51</v>
      </c>
      <c r="E40" s="218">
        <f>ROUND($I$1*I40,1)</f>
        <v>6503.5</v>
      </c>
      <c r="F40" s="217">
        <f>PRODUCT(D40,E40)</f>
        <v>331678.5</v>
      </c>
      <c r="G40" s="218">
        <f>ROUND($J$1*J40,1)</f>
        <v>45.6</v>
      </c>
      <c r="H40" s="217">
        <f>PRODUCT(D40,G40)</f>
        <v>2325.6</v>
      </c>
      <c r="I40" s="215">
        <f>2839.7+23.7+233.5</f>
        <v>3096.8999999999996</v>
      </c>
      <c r="J40" s="215">
        <v>8.6</v>
      </c>
      <c r="P40" s="221">
        <v>94</v>
      </c>
    </row>
    <row r="41" spans="1:16">
      <c r="A41" s="205">
        <f>(SUM(A40,1))</f>
        <v>39</v>
      </c>
      <c r="B41" s="223" t="s">
        <v>2420</v>
      </c>
      <c r="C41" s="222" t="s">
        <v>450</v>
      </c>
      <c r="D41" s="221">
        <f>P41-'EL-A'!D43</f>
        <v>2</v>
      </c>
      <c r="E41" s="218">
        <f>ROUND($I$1*I41,1)</f>
        <v>1583.4</v>
      </c>
      <c r="F41" s="217">
        <f>PRODUCT(D41,E41)</f>
        <v>3166.8</v>
      </c>
      <c r="G41" s="218">
        <f>ROUND($J$1*J41,1)</f>
        <v>39.799999999999997</v>
      </c>
      <c r="H41" s="217">
        <f>PRODUCT(D41,G41)</f>
        <v>79.599999999999994</v>
      </c>
      <c r="I41" s="215">
        <f>622+21.1+59.5+51.4</f>
        <v>754</v>
      </c>
      <c r="J41" s="215">
        <v>7.5</v>
      </c>
      <c r="P41" s="221">
        <v>5</v>
      </c>
    </row>
    <row r="42" spans="1:16">
      <c r="A42" s="205">
        <f>(SUM(A41,1))</f>
        <v>40</v>
      </c>
      <c r="B42" s="223" t="s">
        <v>2418</v>
      </c>
      <c r="C42" s="222" t="s">
        <v>450</v>
      </c>
      <c r="D42" s="221">
        <f>P42-'EL-A'!D45</f>
        <v>41</v>
      </c>
      <c r="E42" s="218">
        <f>ROUND($I$1*I42,1)</f>
        <v>3066</v>
      </c>
      <c r="F42" s="217">
        <f>PRODUCT(D42,E42)</f>
        <v>125706</v>
      </c>
      <c r="G42" s="218">
        <f>ROUND($J$1*J42,1)</f>
        <v>238.5</v>
      </c>
      <c r="H42" s="217">
        <f>PRODUCT(D42,G42)</f>
        <v>9778.5</v>
      </c>
      <c r="I42" s="216">
        <v>1460</v>
      </c>
      <c r="J42" s="215">
        <v>45</v>
      </c>
      <c r="P42" s="221">
        <v>82</v>
      </c>
    </row>
    <row r="43" spans="1:16">
      <c r="A43" s="205">
        <f>(SUM(A42,1))</f>
        <v>41</v>
      </c>
      <c r="B43" s="223" t="s">
        <v>2417</v>
      </c>
      <c r="C43" s="222" t="s">
        <v>450</v>
      </c>
      <c r="D43" s="221">
        <f>P43-'EL-A'!D46</f>
        <v>1</v>
      </c>
      <c r="E43" s="218">
        <f>ROUND($I$1*I43,1)</f>
        <v>1365</v>
      </c>
      <c r="F43" s="217">
        <f>PRODUCT(D43,E43)</f>
        <v>1365</v>
      </c>
      <c r="G43" s="218">
        <f>ROUND($J$1*J43,1)</f>
        <v>238.5</v>
      </c>
      <c r="H43" s="217">
        <f>PRODUCT(D43,G43)</f>
        <v>238.5</v>
      </c>
      <c r="I43" s="216">
        <v>650</v>
      </c>
      <c r="J43" s="215">
        <v>45</v>
      </c>
      <c r="P43" s="221">
        <v>6</v>
      </c>
    </row>
    <row r="44" spans="1:16">
      <c r="A44" s="205">
        <f>(SUM(A43,1))</f>
        <v>42</v>
      </c>
      <c r="B44" s="223" t="s">
        <v>2416</v>
      </c>
      <c r="C44" s="222" t="s">
        <v>450</v>
      </c>
      <c r="D44" s="221">
        <f>P44-'EL-A'!D47</f>
        <v>24</v>
      </c>
      <c r="E44" s="218">
        <f>ROUND($I$1*I44,1)</f>
        <v>974.4</v>
      </c>
      <c r="F44" s="217">
        <f>PRODUCT(D44,E44)</f>
        <v>23385.599999999999</v>
      </c>
      <c r="G44" s="218">
        <f>ROUND($J$1*J44,1)</f>
        <v>238.5</v>
      </c>
      <c r="H44" s="217">
        <f>PRODUCT(D44,G44)</f>
        <v>5724</v>
      </c>
      <c r="I44" s="216">
        <v>464</v>
      </c>
      <c r="J44" s="215">
        <v>45</v>
      </c>
      <c r="P44" s="221">
        <v>50</v>
      </c>
    </row>
    <row r="45" spans="1:16">
      <c r="A45" s="205">
        <f>(SUM(A44,1))</f>
        <v>43</v>
      </c>
      <c r="B45" s="223" t="s">
        <v>2415</v>
      </c>
      <c r="C45" s="222" t="s">
        <v>450</v>
      </c>
      <c r="D45" s="221">
        <f>P45-'EL-A'!D48</f>
        <v>68</v>
      </c>
      <c r="E45" s="218">
        <f>ROUND($I$1*I45,1)</f>
        <v>2520</v>
      </c>
      <c r="F45" s="217">
        <f>PRODUCT(D45,E45)</f>
        <v>171360</v>
      </c>
      <c r="G45" s="218">
        <f>ROUND($J$1*J45,1)</f>
        <v>53</v>
      </c>
      <c r="H45" s="217">
        <f>PRODUCT(D45,G45)</f>
        <v>3604</v>
      </c>
      <c r="I45" s="215">
        <v>1200</v>
      </c>
      <c r="J45" s="215">
        <v>10</v>
      </c>
      <c r="P45" s="221">
        <v>140</v>
      </c>
    </row>
    <row r="46" spans="1:16">
      <c r="A46" s="205">
        <f>(SUM(A45,1))</f>
        <v>44</v>
      </c>
      <c r="B46" s="223" t="s">
        <v>2414</v>
      </c>
      <c r="C46" s="222" t="s">
        <v>450</v>
      </c>
      <c r="D46" s="221">
        <f>P46-'EL-A'!D49</f>
        <v>7</v>
      </c>
      <c r="E46" s="218">
        <f>ROUND($I$1*I46,1)</f>
        <v>6300</v>
      </c>
      <c r="F46" s="217">
        <f>PRODUCT(D46,E46)</f>
        <v>44100</v>
      </c>
      <c r="G46" s="218">
        <f>ROUND($J$1*J46,1)</f>
        <v>530</v>
      </c>
      <c r="H46" s="217">
        <f>PRODUCT(D46,G46)</f>
        <v>3710</v>
      </c>
      <c r="I46" s="215">
        <v>3000</v>
      </c>
      <c r="J46" s="215">
        <v>100</v>
      </c>
      <c r="P46" s="221">
        <v>16</v>
      </c>
    </row>
    <row r="47" spans="1:16">
      <c r="A47" s="205">
        <f>(SUM(A46,1))</f>
        <v>45</v>
      </c>
      <c r="B47" s="223" t="s">
        <v>2413</v>
      </c>
      <c r="C47" s="222" t="s">
        <v>429</v>
      </c>
      <c r="D47" s="221">
        <v>1</v>
      </c>
      <c r="E47" s="218">
        <f>ROUND($I$1*I47,1)</f>
        <v>0</v>
      </c>
      <c r="F47" s="217">
        <f>PRODUCT(D47,E47)</f>
        <v>0</v>
      </c>
      <c r="G47" s="218">
        <f>ROUND($J$1*J47,1)</f>
        <v>37100</v>
      </c>
      <c r="H47" s="217">
        <f>PRODUCT(D47,G47)</f>
        <v>37100</v>
      </c>
      <c r="I47" s="215">
        <v>0</v>
      </c>
      <c r="J47" s="215">
        <v>7000</v>
      </c>
      <c r="P47" s="221"/>
    </row>
    <row r="48" spans="1:16">
      <c r="A48" s="205">
        <f>(SUM(A47,1))</f>
        <v>46</v>
      </c>
      <c r="B48" s="232" t="s">
        <v>2412</v>
      </c>
      <c r="C48" s="222" t="s">
        <v>450</v>
      </c>
      <c r="D48" s="221">
        <f>P48-'EL-A'!D51</f>
        <v>2</v>
      </c>
      <c r="E48" s="218">
        <f>ROUND($I$1*I48,1)</f>
        <v>5205.8999999999996</v>
      </c>
      <c r="F48" s="217">
        <f>PRODUCT(D48,E48)</f>
        <v>10411.799999999999</v>
      </c>
      <c r="G48" s="218">
        <f>ROUND($J$1*J48,1)</f>
        <v>132.5</v>
      </c>
      <c r="H48" s="217">
        <f>PRODUCT(D48,G48)</f>
        <v>265</v>
      </c>
      <c r="I48" s="216">
        <f>(2108+863+28.6)/1.21</f>
        <v>2479.0082644628101</v>
      </c>
      <c r="J48" s="215">
        <v>25</v>
      </c>
      <c r="P48" s="221">
        <v>4</v>
      </c>
    </row>
    <row r="49" spans="1:16">
      <c r="A49" s="205">
        <f>(SUM(A48,1))</f>
        <v>47</v>
      </c>
      <c r="B49" s="223" t="s">
        <v>2411</v>
      </c>
      <c r="C49" s="222" t="s">
        <v>193</v>
      </c>
      <c r="D49" s="221">
        <f>P49-'EL-A'!D52</f>
        <v>130</v>
      </c>
      <c r="E49" s="218">
        <f>ROUND($I$1*I49,1)</f>
        <v>19.5</v>
      </c>
      <c r="F49" s="217">
        <f>PRODUCT(D49,E49)</f>
        <v>2535</v>
      </c>
      <c r="G49" s="218">
        <f>ROUND($J$1*J49,1)</f>
        <v>15.4</v>
      </c>
      <c r="H49" s="217">
        <f>PRODUCT(D49,G49)</f>
        <v>2002</v>
      </c>
      <c r="I49" s="216">
        <v>9.2799999999999994</v>
      </c>
      <c r="J49" s="215">
        <v>2.9</v>
      </c>
      <c r="P49" s="221">
        <v>300</v>
      </c>
    </row>
    <row r="50" spans="1:16">
      <c r="A50" s="205">
        <f>(SUM(A49,1))</f>
        <v>48</v>
      </c>
      <c r="B50" s="223" t="s">
        <v>2410</v>
      </c>
      <c r="C50" s="222" t="s">
        <v>193</v>
      </c>
      <c r="D50" s="221">
        <f>P50-'EL-A'!D53</f>
        <v>130</v>
      </c>
      <c r="E50" s="218">
        <f>ROUND($I$1*I50,1)</f>
        <v>41.4</v>
      </c>
      <c r="F50" s="217">
        <f>PRODUCT(D50,E50)</f>
        <v>5382</v>
      </c>
      <c r="G50" s="218">
        <f>ROUND($J$1*J50,1)</f>
        <v>15.4</v>
      </c>
      <c r="H50" s="217">
        <f>PRODUCT(D50,G50)</f>
        <v>2002</v>
      </c>
      <c r="I50" s="216">
        <v>19.71</v>
      </c>
      <c r="J50" s="215">
        <v>2.9</v>
      </c>
      <c r="P50" s="221">
        <v>300</v>
      </c>
    </row>
    <row r="51" spans="1:16">
      <c r="A51" s="205">
        <f>(SUM(A50,1))</f>
        <v>49</v>
      </c>
      <c r="B51" s="223" t="s">
        <v>2409</v>
      </c>
      <c r="C51" s="222" t="s">
        <v>193</v>
      </c>
      <c r="D51" s="221">
        <f>P51-'EL-A'!D54</f>
        <v>130</v>
      </c>
      <c r="E51" s="218">
        <f>ROUND($I$1*I51,1)</f>
        <v>68.5</v>
      </c>
      <c r="F51" s="217">
        <f>PRODUCT(D51,E51)</f>
        <v>8905</v>
      </c>
      <c r="G51" s="218">
        <f>ROUND($J$1*J51,1)</f>
        <v>15.4</v>
      </c>
      <c r="H51" s="217">
        <f>PRODUCT(D51,G51)</f>
        <v>2002</v>
      </c>
      <c r="I51" s="216">
        <v>32.630000000000003</v>
      </c>
      <c r="J51" s="215">
        <v>2.9</v>
      </c>
      <c r="P51" s="221">
        <v>300</v>
      </c>
    </row>
    <row r="52" spans="1:16">
      <c r="A52" s="205">
        <f>(SUM(A51,1))</f>
        <v>50</v>
      </c>
      <c r="B52" s="223" t="s">
        <v>2408</v>
      </c>
      <c r="C52" s="222" t="s">
        <v>193</v>
      </c>
      <c r="D52" s="221">
        <f>P52-'EL-A'!D55</f>
        <v>80</v>
      </c>
      <c r="E52" s="218">
        <f>ROUND($I$1*I52,1)</f>
        <v>108.7</v>
      </c>
      <c r="F52" s="217">
        <f>PRODUCT(D52,E52)</f>
        <v>8696</v>
      </c>
      <c r="G52" s="218">
        <f>ROUND($J$1*J52,1)</f>
        <v>15.4</v>
      </c>
      <c r="H52" s="217">
        <f>PRODUCT(D52,G52)</f>
        <v>1232</v>
      </c>
      <c r="I52" s="216">
        <v>51.77</v>
      </c>
      <c r="J52" s="215">
        <v>2.9</v>
      </c>
      <c r="P52" s="221">
        <v>200</v>
      </c>
    </row>
    <row r="53" spans="1:16">
      <c r="A53" s="205">
        <f>(SUM(A52,1))</f>
        <v>51</v>
      </c>
      <c r="B53" s="223" t="s">
        <v>2308</v>
      </c>
      <c r="C53" s="222" t="s">
        <v>193</v>
      </c>
      <c r="D53" s="221">
        <f>P53-'EL-A'!D56</f>
        <v>50</v>
      </c>
      <c r="E53" s="218">
        <f>ROUND($I$1*I53,1)</f>
        <v>176.6</v>
      </c>
      <c r="F53" s="217">
        <f>PRODUCT(D53,E53)</f>
        <v>8830</v>
      </c>
      <c r="G53" s="218">
        <f>ROUND($J$1*J53,1)</f>
        <v>27.6</v>
      </c>
      <c r="H53" s="217">
        <f>PRODUCT(D53,G53)</f>
        <v>1380</v>
      </c>
      <c r="I53" s="215">
        <v>84.08</v>
      </c>
      <c r="J53" s="215">
        <v>5.2</v>
      </c>
      <c r="P53" s="221">
        <v>100</v>
      </c>
    </row>
    <row r="54" spans="1:16">
      <c r="A54" s="205">
        <f>(SUM(A53,1))</f>
        <v>52</v>
      </c>
      <c r="B54" s="223" t="s">
        <v>2199</v>
      </c>
      <c r="C54" s="222" t="s">
        <v>2177</v>
      </c>
      <c r="D54" s="221">
        <v>1</v>
      </c>
      <c r="E54" s="218">
        <f>ROUND($I$1*I54,1)</f>
        <v>21000</v>
      </c>
      <c r="F54" s="217">
        <f>PRODUCT(D54,E54)</f>
        <v>21000</v>
      </c>
      <c r="G54" s="218">
        <f>ROUND($J$1*J54,1)</f>
        <v>2650</v>
      </c>
      <c r="H54" s="217">
        <f>PRODUCT(D54,G54)</f>
        <v>2650</v>
      </c>
      <c r="I54" s="215">
        <v>10000</v>
      </c>
      <c r="J54" s="215">
        <v>500</v>
      </c>
      <c r="P54" s="221">
        <v>1</v>
      </c>
    </row>
    <row r="55" spans="1:16">
      <c r="A55" s="205">
        <f>(SUM(A54,1))</f>
        <v>53</v>
      </c>
      <c r="B55" s="223" t="s">
        <v>2407</v>
      </c>
      <c r="C55" s="222" t="s">
        <v>450</v>
      </c>
      <c r="D55" s="221">
        <f>P55-'EL-A'!D58</f>
        <v>1</v>
      </c>
      <c r="E55" s="218">
        <f>ROUND($I$1*I55,1)</f>
        <v>1220.0999999999999</v>
      </c>
      <c r="F55" s="217">
        <f>PRODUCT(D55,E55)</f>
        <v>1220.0999999999999</v>
      </c>
      <c r="G55" s="218">
        <f>ROUND($J$1*J55,1)</f>
        <v>238.5</v>
      </c>
      <c r="H55" s="217">
        <f>PRODUCT(D55,G55)</f>
        <v>238.5</v>
      </c>
      <c r="I55" s="215">
        <v>581</v>
      </c>
      <c r="J55" s="215">
        <v>45</v>
      </c>
      <c r="P55" s="221">
        <v>2</v>
      </c>
    </row>
    <row r="56" spans="1:16">
      <c r="A56" s="205">
        <f>(SUM(A55,1))</f>
        <v>54</v>
      </c>
      <c r="B56" s="223" t="s">
        <v>2406</v>
      </c>
      <c r="C56" s="222" t="s">
        <v>450</v>
      </c>
      <c r="D56" s="221">
        <f>P56-'EL-A'!D59</f>
        <v>50</v>
      </c>
      <c r="E56" s="218">
        <f>ROUND($I$1*I56,1)</f>
        <v>95.1</v>
      </c>
      <c r="F56" s="217">
        <f>PRODUCT(D56,E56)</f>
        <v>4755</v>
      </c>
      <c r="G56" s="218">
        <f>ROUND($J$1*J56,1)</f>
        <v>92.2</v>
      </c>
      <c r="H56" s="217">
        <f>PRODUCT(D56,G56)</f>
        <v>4610</v>
      </c>
      <c r="I56" s="215">
        <v>45.3</v>
      </c>
      <c r="J56" s="215">
        <v>17.399999999999999</v>
      </c>
      <c r="P56" s="221">
        <v>120</v>
      </c>
    </row>
    <row r="57" spans="1:16">
      <c r="A57" s="205">
        <f>(SUM(A56,1))</f>
        <v>55</v>
      </c>
      <c r="B57" s="224" t="s">
        <v>2378</v>
      </c>
      <c r="C57" s="219" t="s">
        <v>450</v>
      </c>
      <c r="D57" s="214">
        <v>20</v>
      </c>
      <c r="E57" s="218">
        <f>ROUND($I$1*I57,1)</f>
        <v>0</v>
      </c>
      <c r="F57" s="217">
        <f>PRODUCT(D57,E57)</f>
        <v>0</v>
      </c>
      <c r="G57" s="218">
        <f>ROUND($J$1*J57,1)</f>
        <v>92.2</v>
      </c>
      <c r="H57" s="217">
        <f>PRODUCT(D57,G57)</f>
        <v>1844</v>
      </c>
      <c r="I57" s="216">
        <v>0</v>
      </c>
      <c r="J57" s="215">
        <v>17.399999999999999</v>
      </c>
      <c r="P57" s="214">
        <v>16</v>
      </c>
    </row>
    <row r="58" spans="1:16">
      <c r="A58" s="205">
        <f>(SUM(A57,1))</f>
        <v>56</v>
      </c>
      <c r="B58" s="237" t="s">
        <v>2405</v>
      </c>
      <c r="C58" s="236" t="s">
        <v>450</v>
      </c>
      <c r="D58" s="248">
        <v>5</v>
      </c>
      <c r="E58" s="218">
        <f>ROUND($I$1*I58,1)</f>
        <v>0</v>
      </c>
      <c r="F58" s="217">
        <f>PRODUCT(D58,E58)</f>
        <v>0</v>
      </c>
      <c r="G58" s="218">
        <f>ROUND($J$1*J58,1)</f>
        <v>238.5</v>
      </c>
      <c r="H58" s="217">
        <f>PRODUCT(D58,G58)</f>
        <v>1192.5</v>
      </c>
      <c r="I58" s="215">
        <v>0</v>
      </c>
      <c r="J58" s="215">
        <v>45</v>
      </c>
    </row>
    <row r="59" spans="1:16">
      <c r="A59" s="205">
        <f>(SUM(A58,1))</f>
        <v>57</v>
      </c>
      <c r="B59" s="237" t="s">
        <v>2404</v>
      </c>
      <c r="C59" s="236" t="s">
        <v>450</v>
      </c>
      <c r="D59" s="248">
        <v>2</v>
      </c>
      <c r="E59" s="218">
        <f>ROUND($I$1*I59,1)</f>
        <v>0</v>
      </c>
      <c r="F59" s="217">
        <f>PRODUCT(D59,E59)</f>
        <v>0</v>
      </c>
      <c r="G59" s="218">
        <f>ROUND($J$1*J59,1)</f>
        <v>238.5</v>
      </c>
      <c r="H59" s="217">
        <f>PRODUCT(D59,G59)</f>
        <v>477</v>
      </c>
      <c r="I59" s="215">
        <v>0</v>
      </c>
      <c r="J59" s="215">
        <v>45</v>
      </c>
    </row>
    <row r="60" spans="1:16">
      <c r="A60" s="205">
        <f>(SUM(A59,1))</f>
        <v>58</v>
      </c>
      <c r="B60" s="237" t="s">
        <v>2403</v>
      </c>
      <c r="C60" s="236" t="s">
        <v>450</v>
      </c>
      <c r="D60" s="248">
        <v>7</v>
      </c>
      <c r="E60" s="218">
        <f>ROUND($I$1*I60,1)</f>
        <v>0</v>
      </c>
      <c r="F60" s="217">
        <f>PRODUCT(D60,E60)</f>
        <v>0</v>
      </c>
      <c r="G60" s="218">
        <f>ROUND($J$1*J60,1)</f>
        <v>238.5</v>
      </c>
      <c r="H60" s="217">
        <f>PRODUCT(D60,G60)</f>
        <v>1669.5</v>
      </c>
      <c r="I60" s="215">
        <v>0</v>
      </c>
      <c r="J60" s="215">
        <v>45</v>
      </c>
    </row>
    <row r="61" spans="1:16">
      <c r="A61" s="205">
        <f>(SUM(A60,1))</f>
        <v>59</v>
      </c>
      <c r="B61" s="237" t="s">
        <v>2402</v>
      </c>
      <c r="C61" s="236" t="s">
        <v>450</v>
      </c>
      <c r="D61" s="248">
        <v>2</v>
      </c>
      <c r="E61" s="218">
        <f>ROUND($I$1*I61,1)</f>
        <v>0</v>
      </c>
      <c r="F61" s="217">
        <f>PRODUCT(D61,E61)</f>
        <v>0</v>
      </c>
      <c r="G61" s="218">
        <f>ROUND($J$1*J61,1)</f>
        <v>238.5</v>
      </c>
      <c r="H61" s="217">
        <f>PRODUCT(D61,G61)</f>
        <v>477</v>
      </c>
      <c r="I61" s="215">
        <v>0</v>
      </c>
      <c r="J61" s="215">
        <v>45</v>
      </c>
    </row>
    <row r="62" spans="1:16">
      <c r="A62" s="205">
        <f>(SUM(A61,1))</f>
        <v>60</v>
      </c>
      <c r="B62" s="237" t="s">
        <v>2401</v>
      </c>
      <c r="C62" s="236" t="s">
        <v>450</v>
      </c>
      <c r="D62" s="248">
        <v>28</v>
      </c>
      <c r="E62" s="218">
        <f>ROUND($I$1*I62,1)</f>
        <v>0</v>
      </c>
      <c r="F62" s="217">
        <f>PRODUCT(D62,E62)</f>
        <v>0</v>
      </c>
      <c r="G62" s="218">
        <f>ROUND($J$1*J62,1)</f>
        <v>238.5</v>
      </c>
      <c r="H62" s="217">
        <f>PRODUCT(D62,G62)</f>
        <v>6678</v>
      </c>
      <c r="I62" s="215">
        <v>0</v>
      </c>
      <c r="J62" s="215">
        <v>45</v>
      </c>
    </row>
    <row r="63" spans="1:16">
      <c r="A63" s="205">
        <f>(SUM(A62,1))</f>
        <v>61</v>
      </c>
      <c r="B63" s="237" t="s">
        <v>2400</v>
      </c>
      <c r="C63" s="236" t="s">
        <v>450</v>
      </c>
      <c r="D63" s="248">
        <v>8</v>
      </c>
      <c r="E63" s="218">
        <f>ROUND($I$1*I63,1)</f>
        <v>0</v>
      </c>
      <c r="F63" s="217">
        <f>PRODUCT(D63,E63)</f>
        <v>0</v>
      </c>
      <c r="G63" s="218">
        <f>ROUND($J$1*J63,1)</f>
        <v>238.5</v>
      </c>
      <c r="H63" s="217">
        <f>PRODUCT(D63,G63)</f>
        <v>1908</v>
      </c>
      <c r="I63" s="215">
        <v>0</v>
      </c>
      <c r="J63" s="215">
        <v>45</v>
      </c>
    </row>
    <row r="64" spans="1:16">
      <c r="A64" s="205">
        <f>(SUM(A63,1))</f>
        <v>62</v>
      </c>
      <c r="B64" s="237" t="s">
        <v>2399</v>
      </c>
      <c r="C64" s="236" t="s">
        <v>450</v>
      </c>
      <c r="D64" s="248">
        <v>3</v>
      </c>
      <c r="E64" s="218">
        <f>ROUND($I$1*I64,1)</f>
        <v>0</v>
      </c>
      <c r="F64" s="217">
        <f>PRODUCT(D64,E64)</f>
        <v>0</v>
      </c>
      <c r="G64" s="218">
        <f>ROUND($J$1*J64,1)</f>
        <v>238.5</v>
      </c>
      <c r="H64" s="217">
        <f>PRODUCT(D64,G64)</f>
        <v>715.5</v>
      </c>
      <c r="I64" s="215">
        <v>0</v>
      </c>
      <c r="J64" s="215">
        <v>45</v>
      </c>
    </row>
    <row r="65" spans="1:16">
      <c r="A65" s="205">
        <f>(SUM(A64,1))</f>
        <v>63</v>
      </c>
      <c r="B65" s="237" t="s">
        <v>2398</v>
      </c>
      <c r="C65" s="236" t="s">
        <v>450</v>
      </c>
      <c r="D65" s="248">
        <v>2</v>
      </c>
      <c r="E65" s="218">
        <f>ROUND($I$1*I65,1)</f>
        <v>0</v>
      </c>
      <c r="F65" s="217">
        <f>PRODUCT(D65,E65)</f>
        <v>0</v>
      </c>
      <c r="G65" s="218">
        <f>ROUND($J$1*J65,1)</f>
        <v>238.5</v>
      </c>
      <c r="H65" s="217">
        <f>PRODUCT(D65,G65)</f>
        <v>477</v>
      </c>
      <c r="I65" s="215">
        <v>0</v>
      </c>
      <c r="J65" s="215">
        <v>45</v>
      </c>
    </row>
    <row r="66" spans="1:16">
      <c r="A66" s="205">
        <f>(SUM(A65,1))</f>
        <v>64</v>
      </c>
      <c r="B66" s="237" t="s">
        <v>2397</v>
      </c>
      <c r="C66" s="236" t="s">
        <v>450</v>
      </c>
      <c r="D66" s="248">
        <v>22</v>
      </c>
      <c r="E66" s="218">
        <f>ROUND($I$1*I66,1)</f>
        <v>0</v>
      </c>
      <c r="F66" s="217">
        <f>PRODUCT(D66,E66)</f>
        <v>0</v>
      </c>
      <c r="G66" s="218">
        <f>ROUND($J$1*J66,1)</f>
        <v>238.5</v>
      </c>
      <c r="H66" s="217">
        <f>PRODUCT(D66,G66)</f>
        <v>5247</v>
      </c>
      <c r="I66" s="215">
        <v>0</v>
      </c>
      <c r="J66" s="215">
        <v>45</v>
      </c>
    </row>
    <row r="67" spans="1:16">
      <c r="A67" s="205">
        <f>(SUM(A66,1))</f>
        <v>65</v>
      </c>
      <c r="B67" s="237" t="s">
        <v>2396</v>
      </c>
      <c r="C67" s="236" t="s">
        <v>450</v>
      </c>
      <c r="D67" s="248">
        <v>28</v>
      </c>
      <c r="E67" s="218">
        <f>ROUND($I$1*I67,1)</f>
        <v>0</v>
      </c>
      <c r="F67" s="217">
        <f>PRODUCT(D67,E67)</f>
        <v>0</v>
      </c>
      <c r="G67" s="218">
        <f>ROUND($J$1*J67,1)</f>
        <v>238.5</v>
      </c>
      <c r="H67" s="217">
        <f>PRODUCT(D67,G67)</f>
        <v>6678</v>
      </c>
      <c r="I67" s="215">
        <v>0</v>
      </c>
      <c r="J67" s="215">
        <v>45</v>
      </c>
    </row>
    <row r="68" spans="1:16">
      <c r="A68" s="205">
        <f>(SUM(A67,1))</f>
        <v>66</v>
      </c>
      <c r="B68" s="237" t="s">
        <v>2395</v>
      </c>
      <c r="C68" s="236" t="s">
        <v>450</v>
      </c>
      <c r="D68" s="248">
        <v>2</v>
      </c>
      <c r="E68" s="218">
        <f>ROUND($I$1*I68,1)</f>
        <v>0</v>
      </c>
      <c r="F68" s="217">
        <f>PRODUCT(D68,E68)</f>
        <v>0</v>
      </c>
      <c r="G68" s="218">
        <f>ROUND($J$1*J68,1)</f>
        <v>238.5</v>
      </c>
      <c r="H68" s="217">
        <f>PRODUCT(D68,G68)</f>
        <v>477</v>
      </c>
      <c r="I68" s="215">
        <v>0</v>
      </c>
      <c r="J68" s="215">
        <v>45</v>
      </c>
    </row>
    <row r="69" spans="1:16">
      <c r="A69" s="205">
        <f>(SUM(A68,1))</f>
        <v>67</v>
      </c>
      <c r="B69" s="237" t="s">
        <v>2394</v>
      </c>
      <c r="C69" s="236" t="s">
        <v>450</v>
      </c>
      <c r="D69" s="248">
        <v>1</v>
      </c>
      <c r="E69" s="218">
        <f>ROUND($I$1*I69,1)</f>
        <v>0</v>
      </c>
      <c r="F69" s="217">
        <f>PRODUCT(D69,E69)</f>
        <v>0</v>
      </c>
      <c r="G69" s="218">
        <f>ROUND($J$1*J69,1)</f>
        <v>238.5</v>
      </c>
      <c r="H69" s="217">
        <f>PRODUCT(D69,G69)</f>
        <v>238.5</v>
      </c>
      <c r="I69" s="215">
        <v>0</v>
      </c>
      <c r="J69" s="215">
        <v>45</v>
      </c>
    </row>
    <row r="70" spans="1:16">
      <c r="A70" s="205">
        <f>(SUM(A56,1))</f>
        <v>55</v>
      </c>
      <c r="B70" s="235" t="s">
        <v>2209</v>
      </c>
      <c r="C70" s="234" t="s">
        <v>964</v>
      </c>
      <c r="D70" s="221">
        <f>P70-'EL-A'!D73</f>
        <v>140</v>
      </c>
      <c r="E70" s="218">
        <f>ROUND(I70*$I$1,1)</f>
        <v>22.1</v>
      </c>
      <c r="F70" s="247">
        <f>PRODUCT(D70,E70)</f>
        <v>3094</v>
      </c>
      <c r="G70" s="218">
        <f>ROUND(J70*$J$1,1)</f>
        <v>0</v>
      </c>
      <c r="H70" s="247">
        <f>PRODUCT(D70,G70)</f>
        <v>0</v>
      </c>
      <c r="I70" s="215">
        <v>10.5</v>
      </c>
      <c r="J70" s="215">
        <v>0</v>
      </c>
      <c r="P70" s="246">
        <v>300</v>
      </c>
    </row>
    <row r="71" spans="1:16">
      <c r="A71" s="201">
        <f>(SUM(A70,1))</f>
        <v>56</v>
      </c>
      <c r="B71" s="198"/>
      <c r="C71" s="200"/>
      <c r="D71" s="200"/>
      <c r="E71" s="200"/>
      <c r="F71" s="199">
        <f>SUM(F3:F70)</f>
        <v>1629303.4000000001</v>
      </c>
      <c r="G71" s="198"/>
      <c r="H71" s="199">
        <f>SUM(H3:H70)</f>
        <v>392317.69999999995</v>
      </c>
    </row>
    <row r="72" spans="1:16">
      <c r="A72" s="196">
        <f>(SUM(A71,1))</f>
        <v>57</v>
      </c>
      <c r="B72" s="195" t="s">
        <v>2176</v>
      </c>
      <c r="C72" s="192"/>
      <c r="D72" s="194">
        <v>3</v>
      </c>
      <c r="E72" s="192" t="s">
        <v>565</v>
      </c>
      <c r="F72" s="213">
        <f>ROUND(F71*D72*0.01,1)</f>
        <v>48879.1</v>
      </c>
      <c r="G72" s="192"/>
      <c r="H72" s="191"/>
    </row>
    <row r="73" spans="1:16">
      <c r="A73" s="196">
        <f>(SUM(A72,1))</f>
        <v>58</v>
      </c>
      <c r="B73" s="195" t="s">
        <v>2175</v>
      </c>
      <c r="C73" s="192"/>
      <c r="D73" s="194">
        <v>15</v>
      </c>
      <c r="E73" s="192" t="s">
        <v>565</v>
      </c>
      <c r="F73" s="193"/>
      <c r="G73" s="192"/>
      <c r="H73" s="213">
        <f>ROUND(H71*D73*0.01,1)</f>
        <v>58847.7</v>
      </c>
    </row>
    <row r="74" spans="1:16">
      <c r="A74" s="190">
        <f>(SUM(A73,1))</f>
        <v>59</v>
      </c>
      <c r="B74" s="189" t="s">
        <v>2168</v>
      </c>
      <c r="C74" s="188"/>
      <c r="D74" s="188"/>
      <c r="E74" s="188"/>
      <c r="F74" s="187">
        <f>SUM(F71:F73)</f>
        <v>1678182.5000000002</v>
      </c>
      <c r="G74" s="212"/>
      <c r="H74" s="187">
        <f>SUM(H71:H73)</f>
        <v>451165.39999999997</v>
      </c>
    </row>
    <row r="78" spans="1:16">
      <c r="B78" s="227" t="s">
        <v>2393</v>
      </c>
      <c r="C78" s="210"/>
      <c r="D78" s="210"/>
      <c r="E78" s="299" t="s">
        <v>2173</v>
      </c>
      <c r="F78" s="299"/>
      <c r="G78" s="299" t="s">
        <v>2172</v>
      </c>
      <c r="H78" s="299"/>
      <c r="I78" s="225"/>
      <c r="J78" s="225"/>
    </row>
    <row r="79" spans="1:16">
      <c r="A79" s="209" t="s">
        <v>2171</v>
      </c>
      <c r="B79" s="226" t="s">
        <v>2170</v>
      </c>
      <c r="C79" s="207" t="s">
        <v>2185</v>
      </c>
      <c r="D79" s="206" t="s">
        <v>2184</v>
      </c>
      <c r="E79" s="207" t="s">
        <v>2183</v>
      </c>
      <c r="F79" s="206" t="s">
        <v>2169</v>
      </c>
      <c r="G79" s="207" t="s">
        <v>2183</v>
      </c>
      <c r="H79" s="206" t="s">
        <v>2169</v>
      </c>
      <c r="I79" s="178"/>
      <c r="J79" s="178"/>
    </row>
    <row r="80" spans="1:16">
      <c r="A80" s="205">
        <f>(SUM(A74,1))</f>
        <v>60</v>
      </c>
      <c r="B80" s="223" t="s">
        <v>2392</v>
      </c>
      <c r="C80" s="222" t="s">
        <v>193</v>
      </c>
      <c r="D80" s="221">
        <v>85</v>
      </c>
      <c r="E80" s="218">
        <f>ROUND(I80*$I$1,1)</f>
        <v>1680</v>
      </c>
      <c r="F80" s="217">
        <f>PRODUCT(D80,E80)</f>
        <v>142800</v>
      </c>
      <c r="G80" s="218">
        <f>ROUND(J80*$J$1,1)</f>
        <v>50.9</v>
      </c>
      <c r="H80" s="217">
        <f>PRODUCT(D80,G80)</f>
        <v>4326.5</v>
      </c>
      <c r="I80" s="215">
        <v>800</v>
      </c>
      <c r="J80" s="215">
        <v>9.6</v>
      </c>
      <c r="P80" s="221">
        <v>10</v>
      </c>
    </row>
    <row r="81" spans="1:16">
      <c r="A81" s="205">
        <f>(SUM(A80,1))</f>
        <v>61</v>
      </c>
      <c r="B81" s="223" t="s">
        <v>2391</v>
      </c>
      <c r="C81" s="222" t="s">
        <v>193</v>
      </c>
      <c r="D81" s="221">
        <v>30</v>
      </c>
      <c r="E81" s="218">
        <f>ROUND(I81*$I$1,1)</f>
        <v>819</v>
      </c>
      <c r="F81" s="217">
        <f>PRODUCT(D81,E81)</f>
        <v>24570</v>
      </c>
      <c r="G81" s="218">
        <f>ROUND(J81*$J$1,1)</f>
        <v>50.9</v>
      </c>
      <c r="H81" s="217">
        <f>PRODUCT(D81,G81)</f>
        <v>1527</v>
      </c>
      <c r="I81" s="215">
        <v>390</v>
      </c>
      <c r="J81" s="215">
        <v>9.6</v>
      </c>
    </row>
    <row r="82" spans="1:16">
      <c r="A82" s="205">
        <f>(SUM(A81,1))</f>
        <v>62</v>
      </c>
      <c r="B82" s="223" t="s">
        <v>2390</v>
      </c>
      <c r="C82" s="222" t="s">
        <v>193</v>
      </c>
      <c r="D82" s="221">
        <v>260</v>
      </c>
      <c r="E82" s="218">
        <f>ROUND(I82*$I$1,1)</f>
        <v>672</v>
      </c>
      <c r="F82" s="217">
        <f>PRODUCT(D82,E82)</f>
        <v>174720</v>
      </c>
      <c r="G82" s="218">
        <f>ROUND(J82*$J$1,1)</f>
        <v>38.200000000000003</v>
      </c>
      <c r="H82" s="217">
        <f>PRODUCT(D82,G82)</f>
        <v>9932</v>
      </c>
      <c r="I82" s="215">
        <v>320</v>
      </c>
      <c r="J82" s="215">
        <v>7.2</v>
      </c>
      <c r="P82" s="221">
        <v>400</v>
      </c>
    </row>
    <row r="83" spans="1:16">
      <c r="A83" s="205">
        <f>(SUM(A82,1))</f>
        <v>63</v>
      </c>
      <c r="B83" s="223" t="s">
        <v>2389</v>
      </c>
      <c r="C83" s="222" t="s">
        <v>193</v>
      </c>
      <c r="D83" s="221">
        <f>P83-'EL-A'!D86</f>
        <v>100</v>
      </c>
      <c r="E83" s="218">
        <f>ROUND(I83*$I$1,1)</f>
        <v>528.4</v>
      </c>
      <c r="F83" s="217">
        <f>PRODUCT(D83,E83)</f>
        <v>52840</v>
      </c>
      <c r="G83" s="218">
        <f>ROUND(J83*$J$1,1)</f>
        <v>38.200000000000003</v>
      </c>
      <c r="H83" s="217">
        <f>PRODUCT(D83,G83)</f>
        <v>3820.0000000000005</v>
      </c>
      <c r="I83" s="215">
        <v>251.64</v>
      </c>
      <c r="J83" s="215">
        <v>7.2</v>
      </c>
      <c r="P83" s="221">
        <v>200</v>
      </c>
    </row>
    <row r="84" spans="1:16">
      <c r="A84" s="205">
        <f>(SUM(A83,1))</f>
        <v>64</v>
      </c>
      <c r="B84" s="223" t="s">
        <v>2388</v>
      </c>
      <c r="C84" s="222" t="s">
        <v>193</v>
      </c>
      <c r="D84" s="221">
        <v>600</v>
      </c>
      <c r="E84" s="218">
        <f>ROUND(I84*$I$1,1)</f>
        <v>114.5</v>
      </c>
      <c r="F84" s="217">
        <f>PRODUCT(D84,E84)</f>
        <v>68700</v>
      </c>
      <c r="G84" s="218">
        <f>ROUND(J84*$J$1,1)</f>
        <v>27.6</v>
      </c>
      <c r="H84" s="217">
        <f>PRODUCT(D84,G84)</f>
        <v>16560</v>
      </c>
      <c r="I84" s="215">
        <v>54.5</v>
      </c>
      <c r="J84" s="215">
        <v>5.2</v>
      </c>
      <c r="P84" s="221">
        <v>700</v>
      </c>
    </row>
    <row r="85" spans="1:16">
      <c r="A85" s="205">
        <f>(SUM(A84,1))</f>
        <v>65</v>
      </c>
      <c r="B85" s="223" t="s">
        <v>2387</v>
      </c>
      <c r="C85" s="222" t="s">
        <v>193</v>
      </c>
      <c r="D85" s="221">
        <v>350</v>
      </c>
      <c r="E85" s="218">
        <f>ROUND(I85*$I$1,1)</f>
        <v>89</v>
      </c>
      <c r="F85" s="217">
        <f>PRODUCT(D85,E85)</f>
        <v>31150</v>
      </c>
      <c r="G85" s="218">
        <f>ROUND(J85*$J$1,1)</f>
        <v>27.6</v>
      </c>
      <c r="H85" s="217">
        <f>PRODUCT(D85,G85)</f>
        <v>9660</v>
      </c>
      <c r="I85" s="215">
        <v>42.38</v>
      </c>
      <c r="J85" s="215">
        <v>5.2</v>
      </c>
      <c r="P85" s="221">
        <v>360</v>
      </c>
    </row>
    <row r="86" spans="1:16">
      <c r="A86" s="205">
        <f>(SUM(A85,1))</f>
        <v>66</v>
      </c>
      <c r="B86" s="223" t="s">
        <v>2248</v>
      </c>
      <c r="C86" s="222" t="s">
        <v>193</v>
      </c>
      <c r="D86" s="221">
        <f>P86-'EL-A'!D89</f>
        <v>460</v>
      </c>
      <c r="E86" s="218">
        <f>ROUND(I86*$I$1,1)</f>
        <v>25.2</v>
      </c>
      <c r="F86" s="217">
        <f>PRODUCT(D86,E86)</f>
        <v>11592</v>
      </c>
      <c r="G86" s="218">
        <f>ROUND(J86*$J$1,1)</f>
        <v>21.7</v>
      </c>
      <c r="H86" s="217">
        <f>PRODUCT(D86,G86)</f>
        <v>9982</v>
      </c>
      <c r="I86" s="215">
        <v>12</v>
      </c>
      <c r="J86" s="215">
        <v>4.0999999999999996</v>
      </c>
      <c r="P86" s="221">
        <v>600</v>
      </c>
    </row>
    <row r="87" spans="1:16">
      <c r="A87" s="205">
        <f>(SUM(A86,1))</f>
        <v>67</v>
      </c>
      <c r="B87" s="223" t="s">
        <v>2386</v>
      </c>
      <c r="C87" s="222" t="s">
        <v>193</v>
      </c>
      <c r="D87" s="221">
        <v>320</v>
      </c>
      <c r="E87" s="218">
        <f>ROUND(I87*$I$1,1)</f>
        <v>42</v>
      </c>
      <c r="F87" s="217">
        <f>PRODUCT(D87,E87)</f>
        <v>13440</v>
      </c>
      <c r="G87" s="218">
        <f>ROUND(J87*$J$1,1)</f>
        <v>21.7</v>
      </c>
      <c r="H87" s="217">
        <f>PRODUCT(D87,G87)</f>
        <v>6944</v>
      </c>
      <c r="I87" s="215">
        <v>20</v>
      </c>
      <c r="J87" s="215">
        <v>4.0999999999999996</v>
      </c>
      <c r="P87" s="221">
        <v>400</v>
      </c>
    </row>
    <row r="88" spans="1:16">
      <c r="A88" s="205">
        <f>(SUM(A87,1))</f>
        <v>68</v>
      </c>
      <c r="B88" s="223" t="s">
        <v>2385</v>
      </c>
      <c r="C88" s="222" t="s">
        <v>193</v>
      </c>
      <c r="D88" s="221">
        <v>100</v>
      </c>
      <c r="E88" s="218">
        <f>ROUND(I88*$I$1,1)</f>
        <v>73.5</v>
      </c>
      <c r="F88" s="217">
        <f>PRODUCT(D88,E88)</f>
        <v>7350</v>
      </c>
      <c r="G88" s="218">
        <f>ROUND(J88*$J$1,1)</f>
        <v>21.7</v>
      </c>
      <c r="H88" s="217">
        <f>PRODUCT(D88,G88)</f>
        <v>2170</v>
      </c>
      <c r="I88" s="215">
        <v>35</v>
      </c>
      <c r="J88" s="215">
        <v>4.0999999999999996</v>
      </c>
      <c r="P88" s="221">
        <v>10</v>
      </c>
    </row>
    <row r="89" spans="1:16">
      <c r="A89" s="205">
        <f>(SUM(A88,1))</f>
        <v>69</v>
      </c>
      <c r="B89" s="220" t="s">
        <v>2384</v>
      </c>
      <c r="C89" s="219" t="s">
        <v>193</v>
      </c>
      <c r="D89" s="221">
        <v>920</v>
      </c>
      <c r="E89" s="218">
        <f>ROUND(I89*$I$1,1)</f>
        <v>4.9000000000000004</v>
      </c>
      <c r="F89" s="217">
        <f>PRODUCT(D89,E89)</f>
        <v>4508</v>
      </c>
      <c r="G89" s="218">
        <f>ROUND(J89*$J$1,1)</f>
        <v>6.9</v>
      </c>
      <c r="H89" s="217">
        <f>PRODUCT(D89,G89)</f>
        <v>6348</v>
      </c>
      <c r="I89" s="215">
        <v>2.3199999999999998</v>
      </c>
      <c r="J89" s="215">
        <v>1.3</v>
      </c>
      <c r="P89" s="214">
        <v>1300</v>
      </c>
    </row>
    <row r="90" spans="1:16" ht="24.75">
      <c r="A90" s="205">
        <f>(SUM(A89,1))</f>
        <v>70</v>
      </c>
      <c r="B90" s="245" t="s">
        <v>2383</v>
      </c>
      <c r="C90" s="219" t="s">
        <v>450</v>
      </c>
      <c r="D90" s="221">
        <v>1</v>
      </c>
      <c r="E90" s="218">
        <f>ROUND(I90*$I$1,1)</f>
        <v>22050</v>
      </c>
      <c r="F90" s="217">
        <f>PRODUCT(D90,E90)</f>
        <v>22050</v>
      </c>
      <c r="G90" s="218">
        <f>ROUND(J90*$J$1,1)</f>
        <v>2650</v>
      </c>
      <c r="H90" s="217">
        <f>PRODUCT(D90,G90)</f>
        <v>2650</v>
      </c>
      <c r="I90" s="215">
        <v>10500</v>
      </c>
      <c r="J90" s="215">
        <v>500</v>
      </c>
      <c r="P90" s="214">
        <v>1</v>
      </c>
    </row>
    <row r="91" spans="1:16">
      <c r="A91" s="205">
        <f>(SUM(A90,1))</f>
        <v>71</v>
      </c>
      <c r="B91" s="220" t="s">
        <v>2464</v>
      </c>
      <c r="C91" s="219" t="s">
        <v>450</v>
      </c>
      <c r="D91" s="221">
        <v>3</v>
      </c>
      <c r="E91" s="218">
        <f>ROUND($I$1*I91,1)</f>
        <v>14280</v>
      </c>
      <c r="F91" s="217">
        <f>PRODUCT(D91,E91)</f>
        <v>42840</v>
      </c>
      <c r="G91" s="218">
        <f>ROUND($J$1*J91,1)</f>
        <v>1325</v>
      </c>
      <c r="H91" s="217">
        <f>PRODUCT(D91,G91)</f>
        <v>3975</v>
      </c>
      <c r="I91" s="215">
        <v>6800</v>
      </c>
      <c r="J91" s="215">
        <v>250</v>
      </c>
      <c r="P91" s="214">
        <v>3</v>
      </c>
    </row>
    <row r="92" spans="1:16">
      <c r="A92" s="205">
        <f>(SUM(A91,1))</f>
        <v>72</v>
      </c>
      <c r="B92" s="220" t="s">
        <v>2382</v>
      </c>
      <c r="C92" s="219" t="s">
        <v>450</v>
      </c>
      <c r="D92" s="221">
        <f>P92-'EL-A'!D94</f>
        <v>3</v>
      </c>
      <c r="E92" s="218">
        <f>ROUND($I$1*I92,1)</f>
        <v>7350</v>
      </c>
      <c r="F92" s="217">
        <f>PRODUCT(D92,E92)</f>
        <v>22050</v>
      </c>
      <c r="G92" s="218">
        <f>ROUND($J$1*J92,1)</f>
        <v>1484</v>
      </c>
      <c r="H92" s="217">
        <f>PRODUCT(D92,G92)</f>
        <v>4452</v>
      </c>
      <c r="I92" s="215">
        <v>3500</v>
      </c>
      <c r="J92" s="215">
        <v>280</v>
      </c>
      <c r="P92" s="214">
        <v>6</v>
      </c>
    </row>
    <row r="93" spans="1:16">
      <c r="A93" s="205">
        <f>(SUM(A92,1))</f>
        <v>73</v>
      </c>
      <c r="B93" s="220" t="s">
        <v>2381</v>
      </c>
      <c r="C93" s="219" t="s">
        <v>450</v>
      </c>
      <c r="D93" s="221">
        <f>P93-'EL-A'!D95</f>
        <v>1</v>
      </c>
      <c r="E93" s="218">
        <f>ROUND($I$1*I93,1)</f>
        <v>0</v>
      </c>
      <c r="F93" s="217">
        <f>PRODUCT(D93,E93)</f>
        <v>0</v>
      </c>
      <c r="G93" s="218">
        <f>ROUND($J$1*J93,1)</f>
        <v>238.5</v>
      </c>
      <c r="H93" s="217">
        <f>PRODUCT(D93,G93)</f>
        <v>238.5</v>
      </c>
      <c r="I93" s="215">
        <v>0</v>
      </c>
      <c r="J93" s="215">
        <v>45</v>
      </c>
      <c r="P93" s="214">
        <v>2</v>
      </c>
    </row>
    <row r="94" spans="1:16">
      <c r="A94" s="205">
        <f>(SUM(A93,1))</f>
        <v>74</v>
      </c>
      <c r="B94" s="220" t="s">
        <v>2463</v>
      </c>
      <c r="C94" s="219" t="s">
        <v>450</v>
      </c>
      <c r="D94" s="221">
        <v>1</v>
      </c>
      <c r="E94" s="218">
        <f>ROUND($I$1*I94,1)</f>
        <v>0</v>
      </c>
      <c r="F94" s="217">
        <f>PRODUCT(D94,E94)</f>
        <v>0</v>
      </c>
      <c r="G94" s="218">
        <f>ROUND($J$1*J94,1)</f>
        <v>238.5</v>
      </c>
      <c r="H94" s="217">
        <f>PRODUCT(D94,G94)</f>
        <v>238.5</v>
      </c>
      <c r="I94" s="215">
        <v>0</v>
      </c>
      <c r="J94" s="215">
        <v>45</v>
      </c>
      <c r="P94" s="214">
        <v>1</v>
      </c>
    </row>
    <row r="95" spans="1:16">
      <c r="A95" s="205">
        <f>(SUM(A94,1))</f>
        <v>75</v>
      </c>
      <c r="B95" s="220" t="s">
        <v>2380</v>
      </c>
      <c r="C95" s="219" t="s">
        <v>450</v>
      </c>
      <c r="D95" s="221">
        <v>4</v>
      </c>
      <c r="E95" s="218">
        <f>ROUND(I95*$I$1,1)</f>
        <v>0</v>
      </c>
      <c r="F95" s="217">
        <f>PRODUCT(D95,E95)</f>
        <v>0</v>
      </c>
      <c r="G95" s="218">
        <f>ROUND(J95*$J$1,1)</f>
        <v>310.10000000000002</v>
      </c>
      <c r="H95" s="217">
        <f>PRODUCT(D95,G95)</f>
        <v>1240.4000000000001</v>
      </c>
      <c r="I95" s="215">
        <v>0</v>
      </c>
      <c r="J95" s="215">
        <v>58.5</v>
      </c>
      <c r="P95" s="214">
        <v>6</v>
      </c>
    </row>
    <row r="96" spans="1:16">
      <c r="A96" s="205">
        <f>(SUM(A95,1))</f>
        <v>76</v>
      </c>
      <c r="B96" s="220" t="s">
        <v>2379</v>
      </c>
      <c r="C96" s="219" t="s">
        <v>450</v>
      </c>
      <c r="D96" s="221">
        <v>15</v>
      </c>
      <c r="E96" s="218">
        <f>ROUND(I96*$I$1,1)</f>
        <v>0</v>
      </c>
      <c r="F96" s="217">
        <f>PRODUCT(D96,E96)</f>
        <v>0</v>
      </c>
      <c r="G96" s="218">
        <f>ROUND(J96*$J$1,1)</f>
        <v>148.4</v>
      </c>
      <c r="H96" s="217">
        <f>PRODUCT(D96,G96)</f>
        <v>2226</v>
      </c>
      <c r="I96" s="215">
        <v>0</v>
      </c>
      <c r="J96" s="215">
        <v>28</v>
      </c>
      <c r="P96" s="214">
        <v>15</v>
      </c>
    </row>
    <row r="97" spans="1:16">
      <c r="A97" s="205">
        <f>(SUM(A96,1))</f>
        <v>77</v>
      </c>
      <c r="B97" s="224" t="s">
        <v>2378</v>
      </c>
      <c r="C97" s="219" t="s">
        <v>450</v>
      </c>
      <c r="D97" s="221">
        <v>8</v>
      </c>
      <c r="E97" s="218">
        <f>ROUND(I97*$I$1,1)</f>
        <v>0</v>
      </c>
      <c r="F97" s="217">
        <f>PRODUCT(D97,E97)</f>
        <v>0</v>
      </c>
      <c r="G97" s="218">
        <f>ROUND(J97*$J$1,1)</f>
        <v>92.2</v>
      </c>
      <c r="H97" s="217">
        <f>PRODUCT(D97,G97)</f>
        <v>737.6</v>
      </c>
      <c r="I97" s="216">
        <v>0</v>
      </c>
      <c r="J97" s="215">
        <v>17.399999999999999</v>
      </c>
      <c r="P97" s="214">
        <v>16</v>
      </c>
    </row>
    <row r="98" spans="1:16">
      <c r="A98" s="201">
        <f>(SUM(A97,1))</f>
        <v>78</v>
      </c>
      <c r="B98" s="198"/>
      <c r="C98" s="200"/>
      <c r="D98" s="200"/>
      <c r="E98" s="200"/>
      <c r="F98" s="199">
        <f>SUM(F80:F97)</f>
        <v>618610</v>
      </c>
      <c r="G98" s="198"/>
      <c r="H98" s="199">
        <f>SUM(H80:H97)</f>
        <v>87027.5</v>
      </c>
    </row>
    <row r="99" spans="1:16">
      <c r="A99" s="196">
        <f>(SUM(A98,1))</f>
        <v>79</v>
      </c>
      <c r="B99" s="195" t="s">
        <v>2176</v>
      </c>
      <c r="C99" s="192"/>
      <c r="D99" s="194">
        <v>3</v>
      </c>
      <c r="E99" s="192" t="s">
        <v>565</v>
      </c>
      <c r="F99" s="213">
        <f>ROUND(F98*D99*0.01,1)</f>
        <v>18558.3</v>
      </c>
      <c r="G99" s="192"/>
      <c r="H99" s="191"/>
    </row>
    <row r="100" spans="1:16">
      <c r="A100" s="196">
        <f>(SUM(A99,1))</f>
        <v>80</v>
      </c>
      <c r="B100" s="195" t="s">
        <v>2175</v>
      </c>
      <c r="C100" s="192"/>
      <c r="D100" s="194">
        <v>6</v>
      </c>
      <c r="E100" s="192" t="s">
        <v>565</v>
      </c>
      <c r="F100" s="193"/>
      <c r="G100" s="192"/>
      <c r="H100" s="213">
        <f>ROUND(H98*D100*0.01,1)</f>
        <v>5221.7</v>
      </c>
    </row>
    <row r="101" spans="1:16">
      <c r="A101" s="190">
        <f>(SUM(A100,1))</f>
        <v>81</v>
      </c>
      <c r="B101" s="189" t="s">
        <v>2168</v>
      </c>
      <c r="C101" s="188"/>
      <c r="D101" s="188"/>
      <c r="E101" s="188"/>
      <c r="F101" s="187">
        <f>SUM(F98:F100)</f>
        <v>637168.30000000005</v>
      </c>
      <c r="G101" s="212"/>
      <c r="H101" s="187">
        <f>SUM(H98:H100)</f>
        <v>92249.2</v>
      </c>
    </row>
    <row r="102" spans="1:16">
      <c r="B102" s="229"/>
      <c r="C102" s="192"/>
      <c r="D102" s="192"/>
      <c r="E102" s="192"/>
      <c r="F102" s="228"/>
      <c r="G102" s="192"/>
      <c r="H102" s="228"/>
    </row>
    <row r="103" spans="1:16">
      <c r="B103" s="229"/>
      <c r="C103" s="192"/>
      <c r="D103" s="192"/>
      <c r="E103" s="192"/>
      <c r="F103" s="228"/>
      <c r="G103" s="192"/>
      <c r="H103" s="228"/>
    </row>
    <row r="104" spans="1:16">
      <c r="B104" s="229"/>
      <c r="C104" s="192"/>
      <c r="D104" s="192"/>
      <c r="E104" s="192"/>
      <c r="F104" s="228"/>
      <c r="G104" s="192"/>
      <c r="H104" s="228"/>
    </row>
    <row r="105" spans="1:16">
      <c r="B105" s="227" t="s">
        <v>2462</v>
      </c>
      <c r="C105" s="210"/>
      <c r="D105" s="210"/>
      <c r="E105" s="299" t="s">
        <v>2173</v>
      </c>
      <c r="F105" s="299"/>
      <c r="G105" s="299" t="s">
        <v>2172</v>
      </c>
      <c r="H105" s="299"/>
      <c r="I105" s="215">
        <v>1.2</v>
      </c>
    </row>
    <row r="106" spans="1:16">
      <c r="A106" s="209" t="s">
        <v>2171</v>
      </c>
      <c r="B106" s="226" t="s">
        <v>2170</v>
      </c>
      <c r="C106" s="207" t="s">
        <v>2185</v>
      </c>
      <c r="D106" s="206" t="s">
        <v>2184</v>
      </c>
      <c r="E106" s="207" t="s">
        <v>2183</v>
      </c>
      <c r="F106" s="206" t="s">
        <v>2169</v>
      </c>
      <c r="G106" s="207" t="s">
        <v>2183</v>
      </c>
      <c r="H106" s="206" t="s">
        <v>2169</v>
      </c>
      <c r="I106" s="225"/>
    </row>
    <row r="107" spans="1:16" ht="16.5">
      <c r="A107" s="205">
        <f>(SUM(A101,1))</f>
        <v>82</v>
      </c>
      <c r="B107" s="224" t="s">
        <v>2376</v>
      </c>
      <c r="C107" s="219" t="s">
        <v>450</v>
      </c>
      <c r="D107" s="214">
        <v>1</v>
      </c>
      <c r="E107" s="218">
        <f>ROUND($I$246*I107,1)</f>
        <v>9336.7000000000007</v>
      </c>
      <c r="F107" s="217">
        <f>PRODUCT(D107,E107)</f>
        <v>9336.7000000000007</v>
      </c>
      <c r="G107" s="218">
        <f>ROUND($J$1*J107,1)</f>
        <v>795</v>
      </c>
      <c r="H107" s="217">
        <f>PRODUCT(D107,G107)</f>
        <v>795</v>
      </c>
      <c r="I107" s="215">
        <f>9414.51/1.21</f>
        <v>7780.5867768595044</v>
      </c>
      <c r="J107" s="215">
        <v>150</v>
      </c>
      <c r="P107" s="214">
        <v>1</v>
      </c>
    </row>
    <row r="108" spans="1:16">
      <c r="A108" s="205">
        <f>(SUM(A107,1))</f>
        <v>83</v>
      </c>
      <c r="B108" s="230" t="s">
        <v>2352</v>
      </c>
      <c r="C108" s="219" t="s">
        <v>450</v>
      </c>
      <c r="D108" s="214">
        <v>1</v>
      </c>
      <c r="E108" s="218">
        <f>ROUND($I$246*I108,1)</f>
        <v>2380.8000000000002</v>
      </c>
      <c r="F108" s="217">
        <f>PRODUCT(D108,E108)</f>
        <v>2380.8000000000002</v>
      </c>
      <c r="G108" s="218">
        <f>ROUND($J$1*J108,1)</f>
        <v>180.2</v>
      </c>
      <c r="H108" s="217">
        <f>PRODUCT(D108,G108)</f>
        <v>180.2</v>
      </c>
      <c r="I108" s="216">
        <v>1984</v>
      </c>
      <c r="J108" s="215">
        <v>34</v>
      </c>
      <c r="P108" s="214">
        <v>1</v>
      </c>
    </row>
    <row r="109" spans="1:16">
      <c r="A109" s="205">
        <f>(SUM(A108,1))</f>
        <v>84</v>
      </c>
      <c r="B109" s="224" t="s">
        <v>2343</v>
      </c>
      <c r="C109" s="219" t="s">
        <v>450</v>
      </c>
      <c r="D109" s="214">
        <v>1</v>
      </c>
      <c r="E109" s="218">
        <f>ROUND($I$246*I109,1)</f>
        <v>13116</v>
      </c>
      <c r="F109" s="217">
        <f>PRODUCT(D109,E109)</f>
        <v>13116</v>
      </c>
      <c r="G109" s="218">
        <f>ROUND($J$1*J109,1)</f>
        <v>360.4</v>
      </c>
      <c r="H109" s="217">
        <f>PRODUCT(D109,G109)</f>
        <v>360.4</v>
      </c>
      <c r="I109" s="216">
        <v>10930</v>
      </c>
      <c r="J109" s="215">
        <v>68</v>
      </c>
      <c r="P109" s="214">
        <v>1</v>
      </c>
    </row>
    <row r="110" spans="1:16">
      <c r="A110" s="205">
        <f>(SUM(A109,1))</f>
        <v>85</v>
      </c>
      <c r="B110" s="224" t="s">
        <v>2375</v>
      </c>
      <c r="C110" s="219" t="s">
        <v>450</v>
      </c>
      <c r="D110" s="214">
        <v>1</v>
      </c>
      <c r="E110" s="218">
        <f>ROUND($I$246*I110,1)</f>
        <v>2666.4</v>
      </c>
      <c r="F110" s="217">
        <f>PRODUCT(D110,E110)</f>
        <v>2666.4</v>
      </c>
      <c r="G110" s="218">
        <f>ROUND($J$1*J110,1)</f>
        <v>291.5</v>
      </c>
      <c r="H110" s="217">
        <f>PRODUCT(D110,G110)</f>
        <v>291.5</v>
      </c>
      <c r="I110" s="216">
        <v>2222</v>
      </c>
      <c r="J110" s="215">
        <v>55</v>
      </c>
    </row>
    <row r="111" spans="1:16">
      <c r="A111" s="205">
        <f>(SUM(A110,1))</f>
        <v>86</v>
      </c>
      <c r="B111" s="224" t="s">
        <v>2374</v>
      </c>
      <c r="C111" s="219" t="s">
        <v>450</v>
      </c>
      <c r="D111" s="214">
        <v>2</v>
      </c>
      <c r="E111" s="218">
        <f>ROUND($I$246*I111,1)</f>
        <v>2230.8000000000002</v>
      </c>
      <c r="F111" s="217">
        <f>PRODUCT(D111,E111)</f>
        <v>4461.6000000000004</v>
      </c>
      <c r="G111" s="218">
        <f>ROUND($J$1*J111,1)</f>
        <v>291.5</v>
      </c>
      <c r="H111" s="217">
        <f>PRODUCT(D111,G111)</f>
        <v>583</v>
      </c>
      <c r="I111" s="216">
        <v>1859</v>
      </c>
      <c r="J111" s="215">
        <v>55</v>
      </c>
      <c r="P111" s="214">
        <v>1</v>
      </c>
    </row>
    <row r="112" spans="1:16">
      <c r="A112" s="205">
        <f>(SUM(A111,1))</f>
        <v>87</v>
      </c>
      <c r="B112" s="224" t="s">
        <v>2342</v>
      </c>
      <c r="C112" s="219" t="s">
        <v>450</v>
      </c>
      <c r="D112" s="214">
        <v>4</v>
      </c>
      <c r="E112" s="218">
        <f>ROUND($I$246*I112,1)</f>
        <v>1237.2</v>
      </c>
      <c r="F112" s="217">
        <f>PRODUCT(D112,E112)</f>
        <v>4948.8</v>
      </c>
      <c r="G112" s="218">
        <f>ROUND($J$1*J112,1)</f>
        <v>180.2</v>
      </c>
      <c r="H112" s="217">
        <f>PRODUCT(D112,G112)</f>
        <v>720.8</v>
      </c>
      <c r="I112" s="216">
        <v>1031</v>
      </c>
      <c r="J112" s="215">
        <v>34</v>
      </c>
      <c r="P112" s="214">
        <v>4</v>
      </c>
    </row>
    <row r="113" spans="1:16">
      <c r="A113" s="205">
        <f>(SUM(A112,1))</f>
        <v>88</v>
      </c>
      <c r="B113" s="224" t="s">
        <v>2373</v>
      </c>
      <c r="C113" s="219" t="s">
        <v>450</v>
      </c>
      <c r="D113" s="214">
        <v>1</v>
      </c>
      <c r="E113" s="218">
        <f>ROUND($I$246*I113,1)</f>
        <v>1023.6</v>
      </c>
      <c r="F113" s="217">
        <f>PRODUCT(D113,E113)</f>
        <v>1023.6</v>
      </c>
      <c r="G113" s="218">
        <f>ROUND($J$1*J113,1)</f>
        <v>180.2</v>
      </c>
      <c r="H113" s="217">
        <f>PRODUCT(D113,G113)</f>
        <v>180.2</v>
      </c>
      <c r="I113" s="216">
        <v>853</v>
      </c>
      <c r="J113" s="215">
        <v>34</v>
      </c>
      <c r="P113" s="214">
        <v>2</v>
      </c>
    </row>
    <row r="114" spans="1:16">
      <c r="A114" s="205">
        <f>(SUM(A113,1))</f>
        <v>89</v>
      </c>
      <c r="B114" s="224" t="s">
        <v>2351</v>
      </c>
      <c r="C114" s="219" t="s">
        <v>450</v>
      </c>
      <c r="D114" s="214">
        <v>5</v>
      </c>
      <c r="E114" s="218">
        <f>ROUND($I$246*I114,1)</f>
        <v>696</v>
      </c>
      <c r="F114" s="217">
        <f>PRODUCT(D114,E114)</f>
        <v>3480</v>
      </c>
      <c r="G114" s="218">
        <f>ROUND($J$1*J114,1)</f>
        <v>180.2</v>
      </c>
      <c r="H114" s="217">
        <f>PRODUCT(D114,G114)</f>
        <v>901</v>
      </c>
      <c r="I114" s="216">
        <v>580</v>
      </c>
      <c r="J114" s="215">
        <v>34</v>
      </c>
      <c r="P114" s="214">
        <v>5</v>
      </c>
    </row>
    <row r="115" spans="1:16">
      <c r="A115" s="205">
        <f>(SUM(A114,1))</f>
        <v>90</v>
      </c>
      <c r="B115" s="224" t="s">
        <v>2350</v>
      </c>
      <c r="C115" s="219" t="s">
        <v>450</v>
      </c>
      <c r="D115" s="214">
        <v>15</v>
      </c>
      <c r="E115" s="218">
        <f>ROUND($I$246*I115,1)</f>
        <v>187.2</v>
      </c>
      <c r="F115" s="217">
        <f>PRODUCT(D115,E115)</f>
        <v>2808</v>
      </c>
      <c r="G115" s="218">
        <f>ROUND($J$1*J115,1)</f>
        <v>90.1</v>
      </c>
      <c r="H115" s="217">
        <f>PRODUCT(D115,G115)</f>
        <v>1351.5</v>
      </c>
      <c r="I115" s="216">
        <v>156</v>
      </c>
      <c r="J115" s="215">
        <v>17</v>
      </c>
      <c r="P115" s="214">
        <v>15</v>
      </c>
    </row>
    <row r="116" spans="1:16">
      <c r="A116" s="205">
        <f>(SUM(A115,1))</f>
        <v>91</v>
      </c>
      <c r="B116" s="224" t="s">
        <v>2339</v>
      </c>
      <c r="C116" s="219" t="s">
        <v>450</v>
      </c>
      <c r="D116" s="214">
        <v>12</v>
      </c>
      <c r="E116" s="218">
        <f>ROUND($I$246*I116,1)</f>
        <v>225.6</v>
      </c>
      <c r="F116" s="217">
        <f>PRODUCT(D116,E116)</f>
        <v>2707.2</v>
      </c>
      <c r="G116" s="218">
        <f>ROUND($J$1*J116,1)</f>
        <v>90.1</v>
      </c>
      <c r="H116" s="217">
        <f>PRODUCT(D116,G116)</f>
        <v>1081.1999999999998</v>
      </c>
      <c r="I116" s="216">
        <v>188</v>
      </c>
      <c r="J116" s="215">
        <v>17</v>
      </c>
      <c r="P116" s="214">
        <v>12</v>
      </c>
    </row>
    <row r="117" spans="1:16">
      <c r="A117" s="205">
        <f>(SUM(A116,1))</f>
        <v>92</v>
      </c>
      <c r="B117" s="224" t="s">
        <v>2358</v>
      </c>
      <c r="C117" s="219" t="s">
        <v>450</v>
      </c>
      <c r="D117" s="214">
        <v>4</v>
      </c>
      <c r="E117" s="218">
        <f>ROUND($I$246*I117,1)</f>
        <v>2059.1999999999998</v>
      </c>
      <c r="F117" s="217">
        <f>PRODUCT(D117,E117)</f>
        <v>8236.7999999999993</v>
      </c>
      <c r="G117" s="218">
        <f>ROUND($J$1*J117,1)</f>
        <v>180.2</v>
      </c>
      <c r="H117" s="217">
        <f>PRODUCT(D117,G117)</f>
        <v>720.8</v>
      </c>
      <c r="I117" s="216">
        <v>1716</v>
      </c>
      <c r="J117" s="215">
        <v>34</v>
      </c>
      <c r="P117" s="214">
        <v>4</v>
      </c>
    </row>
    <row r="118" spans="1:16">
      <c r="A118" s="205">
        <f>(SUM(A117,1))</f>
        <v>93</v>
      </c>
      <c r="B118" s="224" t="s">
        <v>2357</v>
      </c>
      <c r="C118" s="219" t="s">
        <v>450</v>
      </c>
      <c r="D118" s="214">
        <v>10</v>
      </c>
      <c r="E118" s="218">
        <f>ROUND($I$246*I118,1)</f>
        <v>2676</v>
      </c>
      <c r="F118" s="217">
        <f>PRODUCT(D118,E118)</f>
        <v>26760</v>
      </c>
      <c r="G118" s="218">
        <f>ROUND($J$1*J118,1)</f>
        <v>180.2</v>
      </c>
      <c r="H118" s="217">
        <f>PRODUCT(D118,G118)</f>
        <v>1802</v>
      </c>
      <c r="I118" s="216">
        <v>2230</v>
      </c>
      <c r="J118" s="215">
        <v>34</v>
      </c>
      <c r="P118" s="214">
        <v>10</v>
      </c>
    </row>
    <row r="119" spans="1:16">
      <c r="A119" s="205">
        <f>(SUM(A118,1))</f>
        <v>94</v>
      </c>
      <c r="B119" s="224" t="s">
        <v>2356</v>
      </c>
      <c r="C119" s="219" t="s">
        <v>450</v>
      </c>
      <c r="D119" s="214">
        <v>33</v>
      </c>
      <c r="E119" s="218">
        <f>ROUND($I$246*I119,1)</f>
        <v>2473.1999999999998</v>
      </c>
      <c r="F119" s="217">
        <f>PRODUCT(D119,E119)</f>
        <v>81615.599999999991</v>
      </c>
      <c r="G119" s="218">
        <f>ROUND($J$1*J119,1)</f>
        <v>180.2</v>
      </c>
      <c r="H119" s="217">
        <f>PRODUCT(D119,G119)</f>
        <v>5946.5999999999995</v>
      </c>
      <c r="I119" s="216">
        <v>2061</v>
      </c>
      <c r="J119" s="215">
        <v>34</v>
      </c>
      <c r="P119" s="214">
        <v>33</v>
      </c>
    </row>
    <row r="120" spans="1:16">
      <c r="A120" s="205">
        <f>(SUM(A119,1))</f>
        <v>95</v>
      </c>
      <c r="B120" s="224" t="s">
        <v>2364</v>
      </c>
      <c r="C120" s="219" t="s">
        <v>450</v>
      </c>
      <c r="D120" s="214">
        <v>1</v>
      </c>
      <c r="E120" s="218">
        <f>ROUND($I$246*I120,1)</f>
        <v>798</v>
      </c>
      <c r="F120" s="217">
        <f>PRODUCT(D120,E120)</f>
        <v>798</v>
      </c>
      <c r="G120" s="218">
        <f>ROUND($J$1*J120,1)</f>
        <v>180.2</v>
      </c>
      <c r="H120" s="217">
        <f>PRODUCT(D120,G120)</f>
        <v>180.2</v>
      </c>
      <c r="I120" s="216">
        <v>665</v>
      </c>
      <c r="J120" s="215">
        <v>34</v>
      </c>
      <c r="P120" s="214">
        <v>1</v>
      </c>
    </row>
    <row r="121" spans="1:16">
      <c r="A121" s="205">
        <f>(SUM(A120,1))</f>
        <v>96</v>
      </c>
      <c r="B121" s="224" t="s">
        <v>2372</v>
      </c>
      <c r="C121" s="219" t="s">
        <v>450</v>
      </c>
      <c r="D121" s="214">
        <v>1</v>
      </c>
      <c r="E121" s="218">
        <f>ROUND($I$246*I121,1)</f>
        <v>3120</v>
      </c>
      <c r="F121" s="217">
        <f>PRODUCT(D121,E121)</f>
        <v>3120</v>
      </c>
      <c r="G121" s="218">
        <f>ROUND(J121*$J$1,1)</f>
        <v>180.2</v>
      </c>
      <c r="H121" s="244">
        <f>PRODUCT(D121,G121)</f>
        <v>180.2</v>
      </c>
      <c r="I121" s="216">
        <v>2600</v>
      </c>
      <c r="J121" s="215">
        <v>34</v>
      </c>
      <c r="P121" s="214">
        <v>1</v>
      </c>
    </row>
    <row r="122" spans="1:16">
      <c r="A122" s="205">
        <f>(SUM(A121,1))</f>
        <v>97</v>
      </c>
      <c r="B122" s="224" t="s">
        <v>2371</v>
      </c>
      <c r="C122" s="219" t="s">
        <v>450</v>
      </c>
      <c r="D122" s="214">
        <v>1</v>
      </c>
      <c r="E122" s="218">
        <f>ROUND($I$246*I122,1)</f>
        <v>120</v>
      </c>
      <c r="F122" s="217">
        <f>PRODUCT(D122,E122)</f>
        <v>120</v>
      </c>
      <c r="G122" s="218">
        <f>ROUND(J122*$J$1,1)</f>
        <v>95.4</v>
      </c>
      <c r="H122" s="244">
        <f>PRODUCT(D122,G122)</f>
        <v>95.4</v>
      </c>
      <c r="I122" s="215">
        <v>100</v>
      </c>
      <c r="J122" s="215">
        <v>18</v>
      </c>
    </row>
    <row r="123" spans="1:16">
      <c r="A123" s="205">
        <f>(SUM(A122,1))</f>
        <v>98</v>
      </c>
      <c r="B123" s="224" t="s">
        <v>2370</v>
      </c>
      <c r="C123" s="219" t="s">
        <v>450</v>
      </c>
      <c r="D123" s="214">
        <v>1</v>
      </c>
      <c r="E123" s="218">
        <f>ROUND($I$246*I123,1)</f>
        <v>2666.2</v>
      </c>
      <c r="F123" s="217">
        <f>PRODUCT(D123,E123)</f>
        <v>2666.2</v>
      </c>
      <c r="G123" s="218">
        <f>ROUND(J123*$J$1,1)</f>
        <v>344.5</v>
      </c>
      <c r="H123" s="244">
        <f>PRODUCT(D123,G123)</f>
        <v>344.5</v>
      </c>
      <c r="I123" s="215">
        <f>2688.45/1.21</f>
        <v>2221.8595041322315</v>
      </c>
      <c r="J123" s="215">
        <v>65</v>
      </c>
    </row>
    <row r="124" spans="1:16">
      <c r="A124" s="205">
        <f>(SUM(A123,1))</f>
        <v>99</v>
      </c>
      <c r="B124" s="224" t="s">
        <v>2369</v>
      </c>
      <c r="C124" s="219" t="s">
        <v>450</v>
      </c>
      <c r="D124" s="214">
        <v>1</v>
      </c>
      <c r="E124" s="218">
        <f>ROUND($I$246*I124,1)</f>
        <v>7058.4</v>
      </c>
      <c r="F124" s="217">
        <f>PRODUCT(D124,E124)</f>
        <v>7058.4</v>
      </c>
      <c r="G124" s="218">
        <f>ROUND(J124*$J$1,1)</f>
        <v>291.5</v>
      </c>
      <c r="H124" s="244">
        <f>PRODUCT(D124,G124)</f>
        <v>291.5</v>
      </c>
      <c r="I124" s="215">
        <v>5882</v>
      </c>
      <c r="J124" s="215">
        <v>55</v>
      </c>
    </row>
    <row r="125" spans="1:16">
      <c r="A125" s="205">
        <f>(SUM(A124,1))</f>
        <v>100</v>
      </c>
      <c r="B125" s="224" t="s">
        <v>2368</v>
      </c>
      <c r="C125" s="219" t="s">
        <v>450</v>
      </c>
      <c r="D125" s="214">
        <v>3</v>
      </c>
      <c r="E125" s="218">
        <f>ROUND($I$246*I125,1)</f>
        <v>894</v>
      </c>
      <c r="F125" s="217">
        <f>PRODUCT(D125,E125)</f>
        <v>2682</v>
      </c>
      <c r="G125" s="218">
        <f>ROUND(J125*$J$1,1)</f>
        <v>106</v>
      </c>
      <c r="H125" s="244">
        <f>PRODUCT(D125,G125)</f>
        <v>318</v>
      </c>
      <c r="I125" s="215">
        <v>745</v>
      </c>
      <c r="J125" s="215">
        <v>20</v>
      </c>
    </row>
    <row r="126" spans="1:16">
      <c r="A126" s="205">
        <f>(SUM(A125,1))</f>
        <v>101</v>
      </c>
      <c r="B126" s="224" t="s">
        <v>2355</v>
      </c>
      <c r="C126" s="219" t="s">
        <v>450</v>
      </c>
      <c r="D126" s="214">
        <v>1</v>
      </c>
      <c r="E126" s="218">
        <f>ROUND($I$246*I126,1)</f>
        <v>46800</v>
      </c>
      <c r="F126" s="217">
        <f>PRODUCT(D126,E126)</f>
        <v>46800</v>
      </c>
      <c r="G126" s="218">
        <f>ROUND(J126*$J$1,1)</f>
        <v>530</v>
      </c>
      <c r="H126" s="244">
        <f>PRODUCT(D126,G126)</f>
        <v>530</v>
      </c>
      <c r="I126" s="216">
        <v>39000</v>
      </c>
      <c r="J126" s="215">
        <v>100</v>
      </c>
      <c r="P126" s="214">
        <v>1</v>
      </c>
    </row>
    <row r="127" spans="1:16">
      <c r="A127" s="205">
        <f>(SUM(A126,1))</f>
        <v>102</v>
      </c>
      <c r="B127" s="224" t="s">
        <v>2461</v>
      </c>
      <c r="C127" s="219" t="s">
        <v>450</v>
      </c>
      <c r="D127" s="214">
        <v>1</v>
      </c>
      <c r="E127" s="218">
        <f>ROUND($I$246*I127,1)</f>
        <v>5485.2</v>
      </c>
      <c r="F127" s="217">
        <f>PRODUCT(D127,E127)</f>
        <v>5485.2</v>
      </c>
      <c r="G127" s="218">
        <f>ROUND(J127*$J$1,1)</f>
        <v>360.4</v>
      </c>
      <c r="H127" s="244">
        <f>PRODUCT(D127,G127)</f>
        <v>360.4</v>
      </c>
      <c r="I127" s="216">
        <f>4571</f>
        <v>4571</v>
      </c>
      <c r="J127" s="215">
        <v>68</v>
      </c>
      <c r="P127" s="214">
        <v>1</v>
      </c>
    </row>
    <row r="128" spans="1:16">
      <c r="A128" s="205">
        <f>(SUM(A127,1))</f>
        <v>103</v>
      </c>
      <c r="B128" s="224" t="s">
        <v>2367</v>
      </c>
      <c r="C128" s="219" t="s">
        <v>450</v>
      </c>
      <c r="D128" s="214">
        <v>1</v>
      </c>
      <c r="E128" s="218">
        <f>ROUND($I$246*I128,1)</f>
        <v>0</v>
      </c>
      <c r="F128" s="217">
        <f>PRODUCT(D128,E128)</f>
        <v>0</v>
      </c>
      <c r="G128" s="218">
        <f>ROUND(J128*$J$1,1)</f>
        <v>310.10000000000002</v>
      </c>
      <c r="H128" s="217">
        <f>PRODUCT(D128,G128)</f>
        <v>310.10000000000002</v>
      </c>
      <c r="I128" s="216">
        <v>0</v>
      </c>
      <c r="J128" s="215">
        <v>58.5</v>
      </c>
      <c r="P128" s="214">
        <v>1</v>
      </c>
    </row>
    <row r="129" spans="1:16">
      <c r="A129" s="205">
        <f>(SUM(A128,1))</f>
        <v>104</v>
      </c>
      <c r="B129" s="224" t="s">
        <v>2337</v>
      </c>
      <c r="C129" s="219" t="s">
        <v>450</v>
      </c>
      <c r="D129" s="214">
        <v>3</v>
      </c>
      <c r="E129" s="218">
        <f>ROUND($I$246*I129,1)</f>
        <v>0</v>
      </c>
      <c r="F129" s="217">
        <f>PRODUCT(D129,E129)</f>
        <v>0</v>
      </c>
      <c r="G129" s="218">
        <f>ROUND(J129*$J$1,1)</f>
        <v>148.4</v>
      </c>
      <c r="H129" s="217">
        <f>PRODUCT(D129,G129)</f>
        <v>445.20000000000005</v>
      </c>
      <c r="I129" s="216">
        <v>0</v>
      </c>
      <c r="J129" s="215">
        <v>28</v>
      </c>
      <c r="P129" s="214">
        <v>1</v>
      </c>
    </row>
    <row r="130" spans="1:16">
      <c r="A130" s="205">
        <f>(SUM(A129,1))</f>
        <v>105</v>
      </c>
      <c r="B130" s="224" t="s">
        <v>2336</v>
      </c>
      <c r="C130" s="219" t="s">
        <v>450</v>
      </c>
      <c r="D130" s="214">
        <v>74</v>
      </c>
      <c r="E130" s="218">
        <f>ROUND($I$246*I130,1)</f>
        <v>0</v>
      </c>
      <c r="F130" s="217">
        <f>PRODUCT(D130,E130)</f>
        <v>0</v>
      </c>
      <c r="G130" s="218">
        <f>ROUND($J$1*J130,1)</f>
        <v>92.2</v>
      </c>
      <c r="H130" s="217">
        <f>PRODUCT(D130,G130)</f>
        <v>6822.8</v>
      </c>
      <c r="I130" s="216">
        <v>0</v>
      </c>
      <c r="J130" s="215">
        <v>17.399999999999999</v>
      </c>
      <c r="P130" s="214">
        <v>74</v>
      </c>
    </row>
    <row r="131" spans="1:16">
      <c r="A131" s="205">
        <f>(SUM(A130,1))</f>
        <v>106</v>
      </c>
      <c r="B131" s="224" t="s">
        <v>2335</v>
      </c>
      <c r="C131" s="219" t="s">
        <v>2177</v>
      </c>
      <c r="D131" s="214">
        <v>1</v>
      </c>
      <c r="E131" s="218">
        <f>ROUND($I$246*I131,1)</f>
        <v>8040</v>
      </c>
      <c r="F131" s="217">
        <f>PRODUCT(D131,E131)</f>
        <v>8040</v>
      </c>
      <c r="G131" s="218">
        <f>ROUND($J$1*J131,1)</f>
        <v>3551</v>
      </c>
      <c r="H131" s="217">
        <f>PRODUCT(D131,G131)</f>
        <v>3551</v>
      </c>
      <c r="I131" s="216">
        <v>6700</v>
      </c>
      <c r="J131" s="215">
        <v>670</v>
      </c>
      <c r="P131" s="214">
        <v>1</v>
      </c>
    </row>
    <row r="132" spans="1:16">
      <c r="A132" s="201">
        <f>(SUM(A131,1))</f>
        <v>107</v>
      </c>
      <c r="B132" s="198"/>
      <c r="C132" s="200"/>
      <c r="D132" s="200"/>
      <c r="E132" s="200"/>
      <c r="F132" s="199">
        <f>SUM(F107:F131)</f>
        <v>240311.30000000002</v>
      </c>
      <c r="G132" s="198"/>
      <c r="H132" s="199">
        <f>SUM(H107:H131)</f>
        <v>28343.5</v>
      </c>
    </row>
    <row r="133" spans="1:16">
      <c r="A133" s="196">
        <f>(SUM(A132,1))</f>
        <v>108</v>
      </c>
      <c r="B133" s="195" t="s">
        <v>2176</v>
      </c>
      <c r="C133" s="192"/>
      <c r="D133" s="194">
        <v>3</v>
      </c>
      <c r="E133" s="192" t="s">
        <v>565</v>
      </c>
      <c r="F133" s="213">
        <f>ROUND(F132*D133*0.01,1)</f>
        <v>7209.3</v>
      </c>
      <c r="G133" s="192"/>
      <c r="H133" s="191"/>
    </row>
    <row r="134" spans="1:16">
      <c r="A134" s="196">
        <f>(SUM(A133,1))</f>
        <v>109</v>
      </c>
      <c r="B134" s="195" t="s">
        <v>2175</v>
      </c>
      <c r="C134" s="192"/>
      <c r="D134" s="194">
        <v>0</v>
      </c>
      <c r="E134" s="192" t="s">
        <v>565</v>
      </c>
      <c r="F134" s="193"/>
      <c r="G134" s="192"/>
      <c r="H134" s="213">
        <f>ROUND(H132*D134*0.01,1)</f>
        <v>0</v>
      </c>
    </row>
    <row r="135" spans="1:16">
      <c r="A135" s="190">
        <f>(SUM(A134,1))</f>
        <v>110</v>
      </c>
      <c r="B135" s="189" t="s">
        <v>2168</v>
      </c>
      <c r="C135" s="188"/>
      <c r="D135" s="188"/>
      <c r="E135" s="188"/>
      <c r="F135" s="187">
        <f>SUM(F132:F134)</f>
        <v>247520.6</v>
      </c>
      <c r="G135" s="212"/>
      <c r="H135" s="187">
        <f>SUM(H132:H134)</f>
        <v>28343.5</v>
      </c>
    </row>
    <row r="136" spans="1:16">
      <c r="B136" s="229"/>
      <c r="C136" s="192"/>
      <c r="D136" s="192"/>
      <c r="E136" s="192"/>
      <c r="F136" s="228"/>
      <c r="G136" s="192"/>
      <c r="H136" s="228"/>
    </row>
    <row r="137" spans="1:16">
      <c r="B137" s="229"/>
      <c r="C137" s="192"/>
      <c r="D137" s="192"/>
      <c r="E137" s="192"/>
      <c r="F137" s="228"/>
      <c r="G137" s="192"/>
      <c r="H137" s="228"/>
    </row>
    <row r="138" spans="1:16">
      <c r="B138" s="229"/>
      <c r="C138" s="192"/>
      <c r="D138" s="192"/>
      <c r="E138" s="192"/>
      <c r="F138" s="228"/>
      <c r="G138" s="192"/>
      <c r="H138" s="228"/>
    </row>
    <row r="139" spans="1:16">
      <c r="B139" s="227" t="s">
        <v>2460</v>
      </c>
      <c r="C139" s="210"/>
      <c r="D139" s="210"/>
      <c r="E139" s="299" t="s">
        <v>2173</v>
      </c>
      <c r="F139" s="299"/>
      <c r="G139" s="299" t="s">
        <v>2172</v>
      </c>
      <c r="H139" s="299"/>
      <c r="I139" s="215"/>
    </row>
    <row r="140" spans="1:16">
      <c r="A140" s="209" t="s">
        <v>2171</v>
      </c>
      <c r="B140" s="226" t="s">
        <v>2170</v>
      </c>
      <c r="C140" s="207" t="s">
        <v>2185</v>
      </c>
      <c r="D140" s="206" t="s">
        <v>2184</v>
      </c>
      <c r="E140" s="207" t="s">
        <v>2183</v>
      </c>
      <c r="F140" s="206" t="s">
        <v>2169</v>
      </c>
      <c r="G140" s="207" t="s">
        <v>2183</v>
      </c>
      <c r="H140" s="206" t="s">
        <v>2169</v>
      </c>
      <c r="I140" s="225"/>
    </row>
    <row r="141" spans="1:16" ht="16.5">
      <c r="A141" s="205">
        <f>(SUM(A135,1))</f>
        <v>111</v>
      </c>
      <c r="B141" s="224" t="s">
        <v>2365</v>
      </c>
      <c r="C141" s="219" t="s">
        <v>450</v>
      </c>
      <c r="D141" s="214">
        <v>1</v>
      </c>
      <c r="E141" s="218">
        <f>ROUND($I$246*I141,1)</f>
        <v>8943.7999999999993</v>
      </c>
      <c r="F141" s="217">
        <f>PRODUCT(D141,E141)</f>
        <v>8943.7999999999993</v>
      </c>
      <c r="G141" s="218">
        <f>ROUND($J$1*J141,1)</f>
        <v>795</v>
      </c>
      <c r="H141" s="217">
        <f>PRODUCT(D141,G141)</f>
        <v>795</v>
      </c>
      <c r="I141" s="215">
        <f>9018.3/1.21</f>
        <v>7453.1404958677685</v>
      </c>
      <c r="J141" s="215">
        <v>150</v>
      </c>
      <c r="P141" s="214">
        <v>1</v>
      </c>
    </row>
    <row r="142" spans="1:16">
      <c r="A142" s="205">
        <f>(SUM(A141,1))</f>
        <v>112</v>
      </c>
      <c r="B142" s="230" t="s">
        <v>2360</v>
      </c>
      <c r="C142" s="219" t="s">
        <v>450</v>
      </c>
      <c r="D142" s="214">
        <v>1</v>
      </c>
      <c r="E142" s="218">
        <f>ROUND($I$246*I142,1)</f>
        <v>1273.2</v>
      </c>
      <c r="F142" s="217">
        <f>PRODUCT(D142,E142)</f>
        <v>1273.2</v>
      </c>
      <c r="G142" s="218">
        <f>ROUND($J$1*J142,1)</f>
        <v>180.2</v>
      </c>
      <c r="H142" s="217">
        <f>PRODUCT(D142,G142)</f>
        <v>180.2</v>
      </c>
      <c r="I142" s="216">
        <v>1061</v>
      </c>
      <c r="J142" s="215">
        <v>34</v>
      </c>
      <c r="P142" s="214">
        <v>1</v>
      </c>
    </row>
    <row r="143" spans="1:16">
      <c r="A143" s="205">
        <f>(SUM(A142,1))</f>
        <v>113</v>
      </c>
      <c r="B143" s="224" t="s">
        <v>2343</v>
      </c>
      <c r="C143" s="219" t="s">
        <v>450</v>
      </c>
      <c r="D143" s="214">
        <v>1</v>
      </c>
      <c r="E143" s="218">
        <f>ROUND($I$246*I143,1)</f>
        <v>13116</v>
      </c>
      <c r="F143" s="217">
        <f>PRODUCT(D143,E143)</f>
        <v>13116</v>
      </c>
      <c r="G143" s="218">
        <f>ROUND($J$1*J143,1)</f>
        <v>360.4</v>
      </c>
      <c r="H143" s="217">
        <f>PRODUCT(D143,G143)</f>
        <v>360.4</v>
      </c>
      <c r="I143" s="216">
        <v>10930</v>
      </c>
      <c r="J143" s="215">
        <v>68</v>
      </c>
      <c r="P143" s="214">
        <v>1</v>
      </c>
    </row>
    <row r="144" spans="1:16">
      <c r="A144" s="205">
        <f>(SUM(A143,1))</f>
        <v>114</v>
      </c>
      <c r="B144" s="224" t="s">
        <v>2340</v>
      </c>
      <c r="C144" s="219" t="s">
        <v>450</v>
      </c>
      <c r="D144" s="214">
        <v>2</v>
      </c>
      <c r="E144" s="218">
        <f>ROUND($I$246*I144,1)</f>
        <v>868.8</v>
      </c>
      <c r="F144" s="217">
        <f>PRODUCT(D144,E144)</f>
        <v>1737.6</v>
      </c>
      <c r="G144" s="218">
        <f>ROUND($J$1*J144,1)</f>
        <v>180.2</v>
      </c>
      <c r="H144" s="217">
        <f>PRODUCT(D144,G144)</f>
        <v>360.4</v>
      </c>
      <c r="I144" s="216">
        <v>724</v>
      </c>
      <c r="J144" s="215">
        <v>34</v>
      </c>
      <c r="P144" s="214">
        <v>2</v>
      </c>
    </row>
    <row r="145" spans="1:16">
      <c r="A145" s="205">
        <f>(SUM(A144,1))</f>
        <v>115</v>
      </c>
      <c r="B145" s="224" t="s">
        <v>2351</v>
      </c>
      <c r="C145" s="219" t="s">
        <v>450</v>
      </c>
      <c r="D145" s="214">
        <v>5</v>
      </c>
      <c r="E145" s="218">
        <f>ROUND($I$246*I145,1)</f>
        <v>696</v>
      </c>
      <c r="F145" s="217">
        <f>PRODUCT(D145,E145)</f>
        <v>3480</v>
      </c>
      <c r="G145" s="218">
        <f>ROUND($J$1*J145,1)</f>
        <v>180.2</v>
      </c>
      <c r="H145" s="217">
        <f>PRODUCT(D145,G145)</f>
        <v>901</v>
      </c>
      <c r="I145" s="216">
        <v>580</v>
      </c>
      <c r="J145" s="215">
        <v>34</v>
      </c>
      <c r="P145" s="214">
        <v>5</v>
      </c>
    </row>
    <row r="146" spans="1:16">
      <c r="A146" s="205">
        <f>(SUM(A145,1))</f>
        <v>116</v>
      </c>
      <c r="B146" s="224" t="s">
        <v>2350</v>
      </c>
      <c r="C146" s="219" t="s">
        <v>450</v>
      </c>
      <c r="D146" s="214">
        <v>15</v>
      </c>
      <c r="E146" s="218">
        <f>ROUND($I$246*I146,1)</f>
        <v>187.2</v>
      </c>
      <c r="F146" s="217">
        <f>PRODUCT(D146,E146)</f>
        <v>2808</v>
      </c>
      <c r="G146" s="218">
        <f>ROUND($J$1*J146,1)</f>
        <v>90.1</v>
      </c>
      <c r="H146" s="217">
        <f>PRODUCT(D146,G146)</f>
        <v>1351.5</v>
      </c>
      <c r="I146" s="216">
        <v>156</v>
      </c>
      <c r="J146" s="215">
        <v>17</v>
      </c>
      <c r="P146" s="214">
        <v>15</v>
      </c>
    </row>
    <row r="147" spans="1:16">
      <c r="A147" s="205">
        <f>(SUM(A146,1))</f>
        <v>117</v>
      </c>
      <c r="B147" s="224" t="s">
        <v>2339</v>
      </c>
      <c r="C147" s="219" t="s">
        <v>450</v>
      </c>
      <c r="D147" s="214">
        <v>11</v>
      </c>
      <c r="E147" s="218">
        <f>ROUND($I$246*I147,1)</f>
        <v>225.6</v>
      </c>
      <c r="F147" s="217">
        <f>PRODUCT(D147,E147)</f>
        <v>2481.6</v>
      </c>
      <c r="G147" s="218">
        <f>ROUND($J$1*J147,1)</f>
        <v>90.1</v>
      </c>
      <c r="H147" s="217">
        <f>PRODUCT(D147,G147)</f>
        <v>991.09999999999991</v>
      </c>
      <c r="I147" s="216">
        <v>188</v>
      </c>
      <c r="J147" s="215">
        <v>17</v>
      </c>
      <c r="P147" s="214">
        <v>11</v>
      </c>
    </row>
    <row r="148" spans="1:16">
      <c r="A148" s="205">
        <f>(SUM(A147,1))</f>
        <v>118</v>
      </c>
      <c r="B148" s="224" t="s">
        <v>2358</v>
      </c>
      <c r="C148" s="219" t="s">
        <v>450</v>
      </c>
      <c r="D148" s="214">
        <v>5</v>
      </c>
      <c r="E148" s="218">
        <f>ROUND($I$246*I148,1)</f>
        <v>2059.1999999999998</v>
      </c>
      <c r="F148" s="217">
        <f>PRODUCT(D148,E148)</f>
        <v>10296</v>
      </c>
      <c r="G148" s="218">
        <f>ROUND($J$1*J148,1)</f>
        <v>180.2</v>
      </c>
      <c r="H148" s="217">
        <f>PRODUCT(D148,G148)</f>
        <v>901</v>
      </c>
      <c r="I148" s="216">
        <v>1716</v>
      </c>
      <c r="J148" s="215">
        <v>34</v>
      </c>
      <c r="P148" s="214">
        <v>5</v>
      </c>
    </row>
    <row r="149" spans="1:16">
      <c r="A149" s="205">
        <f>(SUM(A148,1))</f>
        <v>119</v>
      </c>
      <c r="B149" s="224" t="s">
        <v>2357</v>
      </c>
      <c r="C149" s="219" t="s">
        <v>450</v>
      </c>
      <c r="D149" s="214">
        <v>6</v>
      </c>
      <c r="E149" s="218">
        <f>ROUND($I$246*I149,1)</f>
        <v>2676</v>
      </c>
      <c r="F149" s="217">
        <f>PRODUCT(D149,E149)</f>
        <v>16056</v>
      </c>
      <c r="G149" s="218">
        <f>ROUND($J$1*J149,1)</f>
        <v>180.2</v>
      </c>
      <c r="H149" s="217">
        <f>PRODUCT(D149,G149)</f>
        <v>1081.1999999999998</v>
      </c>
      <c r="I149" s="216">
        <v>2230</v>
      </c>
      <c r="J149" s="215">
        <v>34</v>
      </c>
      <c r="P149" s="214">
        <v>6</v>
      </c>
    </row>
    <row r="150" spans="1:16">
      <c r="A150" s="205">
        <f>(SUM(A149,1))</f>
        <v>120</v>
      </c>
      <c r="B150" s="224" t="s">
        <v>2356</v>
      </c>
      <c r="C150" s="219" t="s">
        <v>450</v>
      </c>
      <c r="D150" s="214">
        <v>28</v>
      </c>
      <c r="E150" s="218">
        <f>ROUND($I$246*I150,1)</f>
        <v>2473.1999999999998</v>
      </c>
      <c r="F150" s="217">
        <f>PRODUCT(D150,E150)</f>
        <v>69249.599999999991</v>
      </c>
      <c r="G150" s="218">
        <f>ROUND($J$1*J150,1)</f>
        <v>180.2</v>
      </c>
      <c r="H150" s="217">
        <f>PRODUCT(D150,G150)</f>
        <v>5045.5999999999995</v>
      </c>
      <c r="I150" s="216">
        <v>2061</v>
      </c>
      <c r="J150" s="215">
        <v>34</v>
      </c>
      <c r="P150" s="214">
        <v>28</v>
      </c>
    </row>
    <row r="151" spans="1:16">
      <c r="A151" s="205">
        <f>(SUM(A150,1))</f>
        <v>121</v>
      </c>
      <c r="B151" s="224" t="s">
        <v>2355</v>
      </c>
      <c r="C151" s="219" t="s">
        <v>450</v>
      </c>
      <c r="D151" s="214">
        <v>1</v>
      </c>
      <c r="E151" s="218">
        <f>ROUND($I$246*I151,1)</f>
        <v>46800</v>
      </c>
      <c r="F151" s="217">
        <f>PRODUCT(D151,E151)</f>
        <v>46800</v>
      </c>
      <c r="G151" s="218">
        <f>ROUND($J$1*J151,1)</f>
        <v>530</v>
      </c>
      <c r="H151" s="217">
        <f>PRODUCT(D151,G151)</f>
        <v>530</v>
      </c>
      <c r="I151" s="216">
        <v>39000</v>
      </c>
      <c r="J151" s="215">
        <v>100</v>
      </c>
      <c r="P151" s="214">
        <v>1</v>
      </c>
    </row>
    <row r="152" spans="1:16">
      <c r="A152" s="205">
        <f>(SUM(A151,1))</f>
        <v>122</v>
      </c>
      <c r="B152" s="224" t="s">
        <v>2336</v>
      </c>
      <c r="C152" s="219" t="s">
        <v>450</v>
      </c>
      <c r="D152" s="214">
        <v>53</v>
      </c>
      <c r="E152" s="218">
        <f>ROUND($I$246*I152,1)</f>
        <v>0</v>
      </c>
      <c r="F152" s="217">
        <f>PRODUCT(D152,E152)</f>
        <v>0</v>
      </c>
      <c r="G152" s="218">
        <f>ROUND($J$1*J152,1)</f>
        <v>92.2</v>
      </c>
      <c r="H152" s="217">
        <f>PRODUCT(D152,G152)</f>
        <v>4886.6000000000004</v>
      </c>
      <c r="I152" s="216">
        <v>0</v>
      </c>
      <c r="J152" s="215">
        <v>17.399999999999999</v>
      </c>
      <c r="P152" s="214">
        <v>53</v>
      </c>
    </row>
    <row r="153" spans="1:16">
      <c r="A153" s="205">
        <f>(SUM(A152,1))</f>
        <v>123</v>
      </c>
      <c r="B153" s="224" t="s">
        <v>2335</v>
      </c>
      <c r="C153" s="219" t="s">
        <v>2177</v>
      </c>
      <c r="D153" s="214">
        <v>1</v>
      </c>
      <c r="E153" s="218">
        <f>ROUND($I$246*I153,1)</f>
        <v>7200</v>
      </c>
      <c r="F153" s="217">
        <f>PRODUCT(D153,E153)</f>
        <v>7200</v>
      </c>
      <c r="G153" s="218">
        <f>ROUND($J$1*J153,1)</f>
        <v>3180</v>
      </c>
      <c r="H153" s="217">
        <f>PRODUCT(D153,G153)</f>
        <v>3180</v>
      </c>
      <c r="I153" s="216">
        <v>6000</v>
      </c>
      <c r="J153" s="215">
        <v>600</v>
      </c>
      <c r="P153" s="214">
        <v>1</v>
      </c>
    </row>
    <row r="154" spans="1:16">
      <c r="A154" s="201">
        <f>(SUM(A153,1))</f>
        <v>124</v>
      </c>
      <c r="B154" s="198"/>
      <c r="C154" s="200"/>
      <c r="D154" s="200"/>
      <c r="E154" s="200"/>
      <c r="F154" s="199">
        <f>SUM(F141:F153)</f>
        <v>183441.8</v>
      </c>
      <c r="G154" s="198"/>
      <c r="H154" s="199">
        <f>SUM(H141:H153)</f>
        <v>20564</v>
      </c>
    </row>
    <row r="155" spans="1:16">
      <c r="A155" s="196">
        <f>(SUM(A154,1))</f>
        <v>125</v>
      </c>
      <c r="B155" s="195" t="s">
        <v>2176</v>
      </c>
      <c r="C155" s="192"/>
      <c r="D155" s="194">
        <v>3</v>
      </c>
      <c r="E155" s="192" t="s">
        <v>565</v>
      </c>
      <c r="F155" s="213">
        <f>ROUND(F154*D155*0.01,1)</f>
        <v>5503.3</v>
      </c>
      <c r="G155" s="192"/>
      <c r="H155" s="191"/>
    </row>
    <row r="156" spans="1:16">
      <c r="A156" s="196">
        <f>(SUM(A155,1))</f>
        <v>126</v>
      </c>
      <c r="B156" s="195" t="s">
        <v>2175</v>
      </c>
      <c r="C156" s="192"/>
      <c r="D156" s="194">
        <v>0</v>
      </c>
      <c r="E156" s="192" t="s">
        <v>565</v>
      </c>
      <c r="F156" s="193"/>
      <c r="G156" s="192"/>
      <c r="H156" s="213">
        <f>ROUND(H154*D156*0.01,1)</f>
        <v>0</v>
      </c>
    </row>
    <row r="157" spans="1:16">
      <c r="A157" s="190">
        <f>(SUM(A156,1))</f>
        <v>127</v>
      </c>
      <c r="B157" s="189" t="s">
        <v>2168</v>
      </c>
      <c r="C157" s="188"/>
      <c r="D157" s="188"/>
      <c r="E157" s="188"/>
      <c r="F157" s="187">
        <f>SUM(F154:F156)</f>
        <v>188945.09999999998</v>
      </c>
      <c r="G157" s="212"/>
      <c r="H157" s="187">
        <f>SUM(H154:H156)</f>
        <v>20564</v>
      </c>
    </row>
    <row r="158" spans="1:16">
      <c r="B158" s="229"/>
      <c r="C158" s="192"/>
      <c r="D158" s="192"/>
      <c r="E158" s="192"/>
      <c r="F158" s="228"/>
      <c r="G158" s="192"/>
      <c r="H158" s="228"/>
    </row>
    <row r="159" spans="1:16">
      <c r="B159" s="229"/>
      <c r="C159" s="192"/>
      <c r="D159" s="192"/>
      <c r="E159" s="192"/>
      <c r="F159" s="228"/>
      <c r="G159" s="192"/>
      <c r="H159" s="228"/>
    </row>
    <row r="160" spans="1:16">
      <c r="B160" s="229"/>
      <c r="C160" s="192"/>
      <c r="D160" s="192"/>
      <c r="E160" s="192"/>
      <c r="F160" s="228"/>
      <c r="G160" s="192"/>
      <c r="H160" s="228"/>
    </row>
    <row r="161" spans="1:16">
      <c r="B161" s="227" t="s">
        <v>2459</v>
      </c>
      <c r="C161" s="210"/>
      <c r="D161" s="210"/>
      <c r="E161" s="299" t="s">
        <v>2173</v>
      </c>
      <c r="F161" s="299"/>
      <c r="G161" s="299" t="s">
        <v>2172</v>
      </c>
      <c r="H161" s="299"/>
      <c r="I161" s="215"/>
    </row>
    <row r="162" spans="1:16">
      <c r="A162" s="209" t="s">
        <v>2171</v>
      </c>
      <c r="B162" s="226" t="s">
        <v>2170</v>
      </c>
      <c r="C162" s="207" t="s">
        <v>2185</v>
      </c>
      <c r="D162" s="206" t="s">
        <v>2184</v>
      </c>
      <c r="E162" s="207" t="s">
        <v>2183</v>
      </c>
      <c r="F162" s="206" t="s">
        <v>2169</v>
      </c>
      <c r="G162" s="207" t="s">
        <v>2183</v>
      </c>
      <c r="H162" s="206" t="s">
        <v>2169</v>
      </c>
      <c r="I162" s="225"/>
    </row>
    <row r="163" spans="1:16" ht="16.5">
      <c r="A163" s="205">
        <f>(SUM(A157,1))</f>
        <v>128</v>
      </c>
      <c r="B163" s="224" t="s">
        <v>2361</v>
      </c>
      <c r="C163" s="219" t="s">
        <v>450</v>
      </c>
      <c r="D163" s="214">
        <v>1</v>
      </c>
      <c r="E163" s="218">
        <f>ROUND($I$246*I163,1)</f>
        <v>7856.6</v>
      </c>
      <c r="F163" s="217">
        <f>PRODUCT(D163,E163)</f>
        <v>7856.6</v>
      </c>
      <c r="G163" s="218">
        <f>ROUND($J$1*J163,1)</f>
        <v>795</v>
      </c>
      <c r="H163" s="217">
        <f>PRODUCT(D163,G163)</f>
        <v>795</v>
      </c>
      <c r="I163" s="215">
        <f>7922.04/1.21</f>
        <v>6547.1404958677685</v>
      </c>
      <c r="J163" s="215">
        <v>150</v>
      </c>
      <c r="P163" s="214">
        <v>1</v>
      </c>
    </row>
    <row r="164" spans="1:16">
      <c r="A164" s="205">
        <f>(SUM(A163,1))</f>
        <v>129</v>
      </c>
      <c r="B164" s="230" t="s">
        <v>2360</v>
      </c>
      <c r="C164" s="219" t="s">
        <v>450</v>
      </c>
      <c r="D164" s="214">
        <v>1</v>
      </c>
      <c r="E164" s="218">
        <f>ROUND($I$246*I164,1)</f>
        <v>1273.2</v>
      </c>
      <c r="F164" s="217">
        <f>PRODUCT(D164,E164)</f>
        <v>1273.2</v>
      </c>
      <c r="G164" s="218">
        <f>ROUND($J$1*J164,1)</f>
        <v>180.2</v>
      </c>
      <c r="H164" s="217">
        <f>PRODUCT(D164,G164)</f>
        <v>180.2</v>
      </c>
      <c r="I164" s="216">
        <v>1061</v>
      </c>
      <c r="J164" s="215">
        <v>34</v>
      </c>
      <c r="P164" s="214">
        <v>1</v>
      </c>
    </row>
    <row r="165" spans="1:16">
      <c r="A165" s="205">
        <f>(SUM(A164,1))</f>
        <v>130</v>
      </c>
      <c r="B165" s="224" t="s">
        <v>2343</v>
      </c>
      <c r="C165" s="219" t="s">
        <v>450</v>
      </c>
      <c r="D165" s="214">
        <v>1</v>
      </c>
      <c r="E165" s="218">
        <f>ROUND($I$246*I165,1)</f>
        <v>13116</v>
      </c>
      <c r="F165" s="217">
        <f>PRODUCT(D165,E165)</f>
        <v>13116</v>
      </c>
      <c r="G165" s="218">
        <f>ROUND($J$1*J165,1)</f>
        <v>360.4</v>
      </c>
      <c r="H165" s="217">
        <f>PRODUCT(D165,G165)</f>
        <v>360.4</v>
      </c>
      <c r="I165" s="216">
        <v>10930</v>
      </c>
      <c r="J165" s="215">
        <v>68</v>
      </c>
      <c r="P165" s="214">
        <v>1</v>
      </c>
    </row>
    <row r="166" spans="1:16">
      <c r="A166" s="205">
        <f>(SUM(A165,1))</f>
        <v>131</v>
      </c>
      <c r="B166" s="224" t="s">
        <v>2351</v>
      </c>
      <c r="C166" s="219" t="s">
        <v>450</v>
      </c>
      <c r="D166" s="214">
        <v>3</v>
      </c>
      <c r="E166" s="218">
        <f>ROUND($I$246*I166,1)</f>
        <v>696</v>
      </c>
      <c r="F166" s="217">
        <f>PRODUCT(D166,E166)</f>
        <v>2088</v>
      </c>
      <c r="G166" s="218">
        <f>ROUND($J$1*J166,1)</f>
        <v>180.2</v>
      </c>
      <c r="H166" s="217">
        <f>PRODUCT(D166,G166)</f>
        <v>540.59999999999991</v>
      </c>
      <c r="I166" s="216">
        <v>580</v>
      </c>
      <c r="J166" s="215">
        <v>34</v>
      </c>
      <c r="P166" s="214">
        <v>3</v>
      </c>
    </row>
    <row r="167" spans="1:16">
      <c r="A167" s="205">
        <f>(SUM(A166,1))</f>
        <v>132</v>
      </c>
      <c r="B167" s="224" t="s">
        <v>2350</v>
      </c>
      <c r="C167" s="219" t="s">
        <v>450</v>
      </c>
      <c r="D167" s="214">
        <v>7</v>
      </c>
      <c r="E167" s="218">
        <f>ROUND($I$246*I167,1)</f>
        <v>187.2</v>
      </c>
      <c r="F167" s="217">
        <f>PRODUCT(D167,E167)</f>
        <v>1310.3999999999999</v>
      </c>
      <c r="G167" s="218">
        <f>ROUND($J$1*J167,1)</f>
        <v>90.1</v>
      </c>
      <c r="H167" s="217">
        <f>PRODUCT(D167,G167)</f>
        <v>630.69999999999993</v>
      </c>
      <c r="I167" s="216">
        <v>156</v>
      </c>
      <c r="J167" s="215">
        <v>17</v>
      </c>
      <c r="P167" s="214">
        <v>7</v>
      </c>
    </row>
    <row r="168" spans="1:16">
      <c r="A168" s="205">
        <f>(SUM(A167,1))</f>
        <v>133</v>
      </c>
      <c r="B168" s="224" t="s">
        <v>2339</v>
      </c>
      <c r="C168" s="219" t="s">
        <v>450</v>
      </c>
      <c r="D168" s="214">
        <v>3</v>
      </c>
      <c r="E168" s="218">
        <f>ROUND($I$246*I168,1)</f>
        <v>225.6</v>
      </c>
      <c r="F168" s="217">
        <f>PRODUCT(D168,E168)</f>
        <v>676.8</v>
      </c>
      <c r="G168" s="218">
        <f>ROUND($J$1*J168,1)</f>
        <v>90.1</v>
      </c>
      <c r="H168" s="217">
        <f>PRODUCT(D168,G168)</f>
        <v>270.29999999999995</v>
      </c>
      <c r="I168" s="216">
        <v>188</v>
      </c>
      <c r="J168" s="215">
        <v>17</v>
      </c>
      <c r="P168" s="214">
        <v>3</v>
      </c>
    </row>
    <row r="169" spans="1:16">
      <c r="A169" s="205">
        <f>(SUM(A168,1))</f>
        <v>134</v>
      </c>
      <c r="B169" s="224" t="s">
        <v>2358</v>
      </c>
      <c r="C169" s="219" t="s">
        <v>450</v>
      </c>
      <c r="D169" s="214">
        <v>1</v>
      </c>
      <c r="E169" s="218">
        <f>ROUND($I$246*I169,1)</f>
        <v>2059.1999999999998</v>
      </c>
      <c r="F169" s="217">
        <f>PRODUCT(D169,E169)</f>
        <v>2059.1999999999998</v>
      </c>
      <c r="G169" s="218">
        <f>ROUND($J$1*J169,1)</f>
        <v>180.2</v>
      </c>
      <c r="H169" s="217">
        <f>PRODUCT(D169,G169)</f>
        <v>180.2</v>
      </c>
      <c r="I169" s="216">
        <v>1716</v>
      </c>
      <c r="J169" s="215">
        <v>34</v>
      </c>
      <c r="P169" s="214">
        <v>1</v>
      </c>
    </row>
    <row r="170" spans="1:16">
      <c r="A170" s="205">
        <f>(SUM(A169,1))</f>
        <v>135</v>
      </c>
      <c r="B170" s="224" t="s">
        <v>2357</v>
      </c>
      <c r="C170" s="219" t="s">
        <v>450</v>
      </c>
      <c r="D170" s="214">
        <v>7</v>
      </c>
      <c r="E170" s="218">
        <f>ROUND($I$246*I170,1)</f>
        <v>2676</v>
      </c>
      <c r="F170" s="217">
        <f>PRODUCT(D170,E170)</f>
        <v>18732</v>
      </c>
      <c r="G170" s="218">
        <f>ROUND($J$1*J170,1)</f>
        <v>180.2</v>
      </c>
      <c r="H170" s="217">
        <f>PRODUCT(D170,G170)</f>
        <v>1261.3999999999999</v>
      </c>
      <c r="I170" s="216">
        <v>2230</v>
      </c>
      <c r="J170" s="215">
        <v>34</v>
      </c>
      <c r="P170" s="214">
        <v>7</v>
      </c>
    </row>
    <row r="171" spans="1:16">
      <c r="A171" s="205">
        <f>(SUM(A170,1))</f>
        <v>136</v>
      </c>
      <c r="B171" s="224" t="s">
        <v>2356</v>
      </c>
      <c r="C171" s="219" t="s">
        <v>450</v>
      </c>
      <c r="D171" s="214">
        <v>15</v>
      </c>
      <c r="E171" s="218">
        <f>ROUND($I$246*I171,1)</f>
        <v>2473.1999999999998</v>
      </c>
      <c r="F171" s="217">
        <f>PRODUCT(D171,E171)</f>
        <v>37098</v>
      </c>
      <c r="G171" s="218">
        <f>ROUND($J$1*J171,1)</f>
        <v>180.2</v>
      </c>
      <c r="H171" s="217">
        <f>PRODUCT(D171,G171)</f>
        <v>2703</v>
      </c>
      <c r="I171" s="216">
        <v>2061</v>
      </c>
      <c r="J171" s="215">
        <v>34</v>
      </c>
      <c r="P171" s="214">
        <v>15</v>
      </c>
    </row>
    <row r="172" spans="1:16">
      <c r="A172" s="205">
        <f>(SUM(A171,1))</f>
        <v>137</v>
      </c>
      <c r="B172" s="224" t="s">
        <v>2355</v>
      </c>
      <c r="C172" s="219" t="s">
        <v>450</v>
      </c>
      <c r="D172" s="214">
        <v>1</v>
      </c>
      <c r="E172" s="218">
        <f>ROUND($I$246*I172,1)</f>
        <v>46800</v>
      </c>
      <c r="F172" s="217">
        <f>PRODUCT(D172,E172)</f>
        <v>46800</v>
      </c>
      <c r="G172" s="218">
        <f>ROUND($J$1*J172,1)</f>
        <v>530</v>
      </c>
      <c r="H172" s="217">
        <f>PRODUCT(D172,G172)</f>
        <v>530</v>
      </c>
      <c r="I172" s="216">
        <v>39000</v>
      </c>
      <c r="J172" s="215">
        <v>100</v>
      </c>
      <c r="P172" s="214">
        <v>1</v>
      </c>
    </row>
    <row r="173" spans="1:16">
      <c r="A173" s="205">
        <f>(SUM(A172,1))</f>
        <v>138</v>
      </c>
      <c r="B173" s="224" t="s">
        <v>2336</v>
      </c>
      <c r="C173" s="219" t="s">
        <v>450</v>
      </c>
      <c r="D173" s="214">
        <v>25</v>
      </c>
      <c r="E173" s="218">
        <f>ROUND($I$246*I173,1)</f>
        <v>0</v>
      </c>
      <c r="F173" s="217">
        <f>PRODUCT(D173,E173)</f>
        <v>0</v>
      </c>
      <c r="G173" s="218">
        <f>ROUND($J$1*J173,1)</f>
        <v>92.2</v>
      </c>
      <c r="H173" s="217">
        <f>PRODUCT(D173,G173)</f>
        <v>2305</v>
      </c>
      <c r="I173" s="216">
        <v>0</v>
      </c>
      <c r="J173" s="215">
        <v>17.399999999999999</v>
      </c>
      <c r="P173" s="214">
        <v>25</v>
      </c>
    </row>
    <row r="174" spans="1:16">
      <c r="A174" s="205">
        <f>(SUM(A173,1))</f>
        <v>139</v>
      </c>
      <c r="B174" s="224" t="s">
        <v>2335</v>
      </c>
      <c r="C174" s="219" t="s">
        <v>2177</v>
      </c>
      <c r="D174" s="214">
        <v>1</v>
      </c>
      <c r="E174" s="218">
        <f>ROUND($I$246*I174,1)</f>
        <v>4920</v>
      </c>
      <c r="F174" s="217">
        <f>PRODUCT(D174,E174)</f>
        <v>4920</v>
      </c>
      <c r="G174" s="218">
        <f>ROUND($J$1*J174,1)</f>
        <v>2173</v>
      </c>
      <c r="H174" s="217">
        <f>PRODUCT(D174,G174)</f>
        <v>2173</v>
      </c>
      <c r="I174" s="216">
        <v>4100</v>
      </c>
      <c r="J174" s="215">
        <v>410</v>
      </c>
      <c r="P174" s="214">
        <v>1</v>
      </c>
    </row>
    <row r="175" spans="1:16">
      <c r="A175" s="201">
        <f>(SUM(A174,1))</f>
        <v>140</v>
      </c>
      <c r="B175" s="198"/>
      <c r="C175" s="200"/>
      <c r="D175" s="200"/>
      <c r="E175" s="200"/>
      <c r="F175" s="199">
        <f>SUM(F163:F174)</f>
        <v>135930.20000000001</v>
      </c>
      <c r="G175" s="198"/>
      <c r="H175" s="199">
        <f>SUM(H163:H174)</f>
        <v>11929.8</v>
      </c>
    </row>
    <row r="176" spans="1:16">
      <c r="A176" s="196">
        <f>(SUM(A175,1))</f>
        <v>141</v>
      </c>
      <c r="B176" s="195" t="s">
        <v>2176</v>
      </c>
      <c r="C176" s="192"/>
      <c r="D176" s="194">
        <v>3</v>
      </c>
      <c r="E176" s="192" t="s">
        <v>565</v>
      </c>
      <c r="F176" s="213">
        <f>ROUND(F175*D176*0.01,1)</f>
        <v>4077.9</v>
      </c>
      <c r="G176" s="192"/>
      <c r="H176" s="191"/>
    </row>
    <row r="177" spans="1:16">
      <c r="A177" s="196">
        <f>(SUM(A176,1))</f>
        <v>142</v>
      </c>
      <c r="B177" s="195" t="s">
        <v>2175</v>
      </c>
      <c r="C177" s="192"/>
      <c r="D177" s="194">
        <v>0</v>
      </c>
      <c r="E177" s="192" t="s">
        <v>565</v>
      </c>
      <c r="F177" s="193"/>
      <c r="G177" s="192"/>
      <c r="H177" s="213">
        <f>ROUND(H175*D177*0.01,1)</f>
        <v>0</v>
      </c>
    </row>
    <row r="178" spans="1:16">
      <c r="A178" s="190">
        <f>(SUM(A177,1))</f>
        <v>143</v>
      </c>
      <c r="B178" s="189" t="s">
        <v>2168</v>
      </c>
      <c r="C178" s="188"/>
      <c r="D178" s="188"/>
      <c r="E178" s="188"/>
      <c r="F178" s="187">
        <f>SUM(F175:F177)</f>
        <v>140008.1</v>
      </c>
      <c r="G178" s="212"/>
      <c r="H178" s="187">
        <f>SUM(H175:H177)</f>
        <v>11929.8</v>
      </c>
    </row>
    <row r="179" spans="1:16">
      <c r="B179" s="229"/>
      <c r="C179" s="192"/>
      <c r="D179" s="192"/>
      <c r="E179" s="192"/>
      <c r="F179" s="228"/>
      <c r="G179" s="192"/>
      <c r="H179" s="228"/>
    </row>
    <row r="180" spans="1:16">
      <c r="B180" s="229"/>
      <c r="C180" s="192"/>
      <c r="D180" s="192"/>
      <c r="E180" s="192"/>
      <c r="F180" s="228"/>
      <c r="G180" s="192"/>
      <c r="H180" s="228"/>
    </row>
    <row r="181" spans="1:16">
      <c r="B181" s="229"/>
      <c r="C181" s="192"/>
      <c r="D181" s="192"/>
      <c r="E181" s="192"/>
      <c r="F181" s="228"/>
      <c r="G181" s="192"/>
      <c r="H181" s="228"/>
    </row>
    <row r="182" spans="1:16">
      <c r="B182" s="227" t="s">
        <v>2458</v>
      </c>
      <c r="C182" s="210"/>
      <c r="D182" s="210"/>
      <c r="E182" s="299" t="s">
        <v>2173</v>
      </c>
      <c r="F182" s="299"/>
      <c r="G182" s="299" t="s">
        <v>2172</v>
      </c>
      <c r="H182" s="299"/>
      <c r="I182" s="215"/>
    </row>
    <row r="183" spans="1:16">
      <c r="A183" s="209" t="s">
        <v>2171</v>
      </c>
      <c r="B183" s="226" t="s">
        <v>2170</v>
      </c>
      <c r="C183" s="207" t="s">
        <v>2185</v>
      </c>
      <c r="D183" s="206" t="s">
        <v>2184</v>
      </c>
      <c r="E183" s="207" t="s">
        <v>2183</v>
      </c>
      <c r="F183" s="206" t="s">
        <v>2169</v>
      </c>
      <c r="G183" s="207" t="s">
        <v>2183</v>
      </c>
      <c r="H183" s="206" t="s">
        <v>2169</v>
      </c>
      <c r="I183" s="225"/>
    </row>
    <row r="184" spans="1:16" ht="16.5">
      <c r="A184" s="205">
        <f>(SUM(A178,1))</f>
        <v>144</v>
      </c>
      <c r="B184" s="224" t="s">
        <v>2361</v>
      </c>
      <c r="C184" s="219" t="s">
        <v>450</v>
      </c>
      <c r="D184" s="214">
        <v>1</v>
      </c>
      <c r="E184" s="218">
        <f>ROUND($I$246*I184,1)</f>
        <v>7856.6</v>
      </c>
      <c r="F184" s="217">
        <f>PRODUCT(D184,E184)</f>
        <v>7856.6</v>
      </c>
      <c r="G184" s="218">
        <f>ROUND($J$1*J184,1)</f>
        <v>795</v>
      </c>
      <c r="H184" s="217">
        <f>PRODUCT(D184,G184)</f>
        <v>795</v>
      </c>
      <c r="I184" s="215">
        <f>7922.04/1.21</f>
        <v>6547.1404958677685</v>
      </c>
      <c r="J184" s="215">
        <v>150</v>
      </c>
      <c r="P184" s="214">
        <v>1</v>
      </c>
    </row>
    <row r="185" spans="1:16">
      <c r="A185" s="205">
        <f>(SUM(A184,1))</f>
        <v>145</v>
      </c>
      <c r="B185" s="230" t="s">
        <v>2360</v>
      </c>
      <c r="C185" s="219" t="s">
        <v>450</v>
      </c>
      <c r="D185" s="214">
        <v>1</v>
      </c>
      <c r="E185" s="218">
        <f>ROUND($I$246*I185,1)</f>
        <v>1273.2</v>
      </c>
      <c r="F185" s="217">
        <f>PRODUCT(D185,E185)</f>
        <v>1273.2</v>
      </c>
      <c r="G185" s="218">
        <f>ROUND($J$1*J185,1)</f>
        <v>180.2</v>
      </c>
      <c r="H185" s="217">
        <f>PRODUCT(D185,G185)</f>
        <v>180.2</v>
      </c>
      <c r="I185" s="216">
        <v>1061</v>
      </c>
      <c r="J185" s="215">
        <v>34</v>
      </c>
      <c r="P185" s="214">
        <v>1</v>
      </c>
    </row>
    <row r="186" spans="1:16">
      <c r="A186" s="205">
        <f>(SUM(A185,1))</f>
        <v>146</v>
      </c>
      <c r="B186" s="224" t="s">
        <v>2343</v>
      </c>
      <c r="C186" s="219" t="s">
        <v>450</v>
      </c>
      <c r="D186" s="214">
        <v>1</v>
      </c>
      <c r="E186" s="218">
        <f>ROUND($I$246*I186,1)</f>
        <v>13116</v>
      </c>
      <c r="F186" s="217">
        <f>PRODUCT(D186,E186)</f>
        <v>13116</v>
      </c>
      <c r="G186" s="218">
        <f>ROUND($J$1*J186,1)</f>
        <v>360.4</v>
      </c>
      <c r="H186" s="217">
        <f>PRODUCT(D186,G186)</f>
        <v>360.4</v>
      </c>
      <c r="I186" s="216">
        <v>10930</v>
      </c>
      <c r="J186" s="215">
        <v>68</v>
      </c>
      <c r="P186" s="214">
        <v>1</v>
      </c>
    </row>
    <row r="187" spans="1:16">
      <c r="A187" s="205">
        <f>(SUM(A186,1))</f>
        <v>147</v>
      </c>
      <c r="B187" s="224" t="s">
        <v>2351</v>
      </c>
      <c r="C187" s="219" t="s">
        <v>450</v>
      </c>
      <c r="D187" s="214">
        <v>3</v>
      </c>
      <c r="E187" s="218">
        <f>ROUND($I$246*I187,1)</f>
        <v>696</v>
      </c>
      <c r="F187" s="217">
        <f>PRODUCT(D187,E187)</f>
        <v>2088</v>
      </c>
      <c r="G187" s="218">
        <f>ROUND($J$1*J187,1)</f>
        <v>180.2</v>
      </c>
      <c r="H187" s="217">
        <f>PRODUCT(D187,G187)</f>
        <v>540.59999999999991</v>
      </c>
      <c r="I187" s="216">
        <v>580</v>
      </c>
      <c r="J187" s="215">
        <v>34</v>
      </c>
      <c r="P187" s="214">
        <v>3</v>
      </c>
    </row>
    <row r="188" spans="1:16">
      <c r="A188" s="205">
        <f>(SUM(A187,1))</f>
        <v>148</v>
      </c>
      <c r="B188" s="224" t="s">
        <v>2359</v>
      </c>
      <c r="C188" s="219" t="s">
        <v>450</v>
      </c>
      <c r="D188" s="214">
        <v>2</v>
      </c>
      <c r="E188" s="218">
        <f>ROUND($I$246*I188,1)</f>
        <v>240</v>
      </c>
      <c r="F188" s="217">
        <f>PRODUCT(D188,E188)</f>
        <v>480</v>
      </c>
      <c r="G188" s="218">
        <f>ROUND($J$1*J188,1)</f>
        <v>90.1</v>
      </c>
      <c r="H188" s="217">
        <f>PRODUCT(D188,G188)</f>
        <v>180.2</v>
      </c>
      <c r="I188" s="216">
        <v>200</v>
      </c>
      <c r="J188" s="215">
        <v>17</v>
      </c>
      <c r="P188" s="214">
        <v>2</v>
      </c>
    </row>
    <row r="189" spans="1:16">
      <c r="A189" s="205">
        <f>(SUM(A188,1))</f>
        <v>149</v>
      </c>
      <c r="B189" s="224" t="s">
        <v>2350</v>
      </c>
      <c r="C189" s="219" t="s">
        <v>450</v>
      </c>
      <c r="D189" s="214">
        <v>8</v>
      </c>
      <c r="E189" s="218">
        <f>ROUND($I$246*I189,1)</f>
        <v>187.2</v>
      </c>
      <c r="F189" s="217">
        <f>PRODUCT(D189,E189)</f>
        <v>1497.6</v>
      </c>
      <c r="G189" s="218">
        <f>ROUND($J$1*J189,1)</f>
        <v>90.1</v>
      </c>
      <c r="H189" s="217">
        <f>PRODUCT(D189,G189)</f>
        <v>720.8</v>
      </c>
      <c r="I189" s="216">
        <v>156</v>
      </c>
      <c r="J189" s="215">
        <v>17</v>
      </c>
      <c r="P189" s="214">
        <v>8</v>
      </c>
    </row>
    <row r="190" spans="1:16">
      <c r="A190" s="205">
        <f>(SUM(A189,1))</f>
        <v>150</v>
      </c>
      <c r="B190" s="224" t="s">
        <v>2339</v>
      </c>
      <c r="C190" s="219" t="s">
        <v>450</v>
      </c>
      <c r="D190" s="214">
        <v>4</v>
      </c>
      <c r="E190" s="218">
        <f>ROUND($I$246*I190,1)</f>
        <v>225.6</v>
      </c>
      <c r="F190" s="217">
        <f>PRODUCT(D190,E190)</f>
        <v>902.4</v>
      </c>
      <c r="G190" s="218">
        <f>ROUND($J$1*J190,1)</f>
        <v>90.1</v>
      </c>
      <c r="H190" s="217">
        <f>PRODUCT(D190,G190)</f>
        <v>360.4</v>
      </c>
      <c r="I190" s="216">
        <v>188</v>
      </c>
      <c r="J190" s="215">
        <v>17</v>
      </c>
      <c r="P190" s="214">
        <v>4</v>
      </c>
    </row>
    <row r="191" spans="1:16">
      <c r="A191" s="205">
        <f>(SUM(A190,1))</f>
        <v>151</v>
      </c>
      <c r="B191" s="224" t="s">
        <v>2358</v>
      </c>
      <c r="C191" s="219" t="s">
        <v>450</v>
      </c>
      <c r="D191" s="214">
        <v>1</v>
      </c>
      <c r="E191" s="218">
        <f>ROUND($I$246*I191,1)</f>
        <v>2059.1999999999998</v>
      </c>
      <c r="F191" s="217">
        <f>PRODUCT(D191,E191)</f>
        <v>2059.1999999999998</v>
      </c>
      <c r="G191" s="218">
        <f>ROUND($J$1*J191,1)</f>
        <v>180.2</v>
      </c>
      <c r="H191" s="217">
        <f>PRODUCT(D191,G191)</f>
        <v>180.2</v>
      </c>
      <c r="I191" s="216">
        <v>1716</v>
      </c>
      <c r="J191" s="215">
        <v>34</v>
      </c>
      <c r="P191" s="214">
        <v>1</v>
      </c>
    </row>
    <row r="192" spans="1:16">
      <c r="A192" s="205">
        <f>(SUM(A191,1))</f>
        <v>152</v>
      </c>
      <c r="B192" s="224" t="s">
        <v>2357</v>
      </c>
      <c r="C192" s="219" t="s">
        <v>450</v>
      </c>
      <c r="D192" s="214">
        <v>7</v>
      </c>
      <c r="E192" s="218">
        <f>ROUND($I$246*I192,1)</f>
        <v>2676</v>
      </c>
      <c r="F192" s="217">
        <f>PRODUCT(D192,E192)</f>
        <v>18732</v>
      </c>
      <c r="G192" s="218">
        <f>ROUND($J$1*J192,1)</f>
        <v>180.2</v>
      </c>
      <c r="H192" s="217">
        <f>PRODUCT(D192,G192)</f>
        <v>1261.3999999999999</v>
      </c>
      <c r="I192" s="216">
        <v>2230</v>
      </c>
      <c r="J192" s="215">
        <v>34</v>
      </c>
      <c r="P192" s="214">
        <v>7</v>
      </c>
    </row>
    <row r="193" spans="1:16">
      <c r="A193" s="205">
        <f>(SUM(A192,1))</f>
        <v>153</v>
      </c>
      <c r="B193" s="224" t="s">
        <v>2356</v>
      </c>
      <c r="C193" s="219" t="s">
        <v>450</v>
      </c>
      <c r="D193" s="214">
        <v>18</v>
      </c>
      <c r="E193" s="218">
        <f>ROUND($I$246*I193,1)</f>
        <v>2473.1999999999998</v>
      </c>
      <c r="F193" s="217">
        <f>PRODUCT(D193,E193)</f>
        <v>44517.599999999999</v>
      </c>
      <c r="G193" s="218">
        <f>ROUND($J$1*J193,1)</f>
        <v>180.2</v>
      </c>
      <c r="H193" s="217">
        <f>PRODUCT(D193,G193)</f>
        <v>3243.6</v>
      </c>
      <c r="I193" s="216">
        <v>2061</v>
      </c>
      <c r="J193" s="215">
        <v>34</v>
      </c>
      <c r="P193" s="214">
        <v>18</v>
      </c>
    </row>
    <row r="194" spans="1:16">
      <c r="A194" s="205">
        <f>(SUM(A193,1))</f>
        <v>154</v>
      </c>
      <c r="B194" s="224" t="s">
        <v>2355</v>
      </c>
      <c r="C194" s="219" t="s">
        <v>450</v>
      </c>
      <c r="D194" s="214">
        <v>1</v>
      </c>
      <c r="E194" s="218">
        <f>ROUND($I$246*I194,1)</f>
        <v>46800</v>
      </c>
      <c r="F194" s="217">
        <f>PRODUCT(D194,E194)</f>
        <v>46800</v>
      </c>
      <c r="G194" s="218">
        <f>ROUND(J194*$J$1,1)</f>
        <v>530</v>
      </c>
      <c r="H194" s="244">
        <f>PRODUCT(D194,G194)</f>
        <v>530</v>
      </c>
      <c r="I194" s="216">
        <v>39000</v>
      </c>
      <c r="J194" s="215">
        <v>100</v>
      </c>
      <c r="P194" s="214">
        <v>1</v>
      </c>
    </row>
    <row r="195" spans="1:16">
      <c r="A195" s="205">
        <f>(SUM(A194,1))</f>
        <v>155</v>
      </c>
      <c r="B195" s="224" t="s">
        <v>2336</v>
      </c>
      <c r="C195" s="219" t="s">
        <v>450</v>
      </c>
      <c r="D195" s="214">
        <v>32</v>
      </c>
      <c r="E195" s="218">
        <f>ROUND($I$246*I195,1)</f>
        <v>0</v>
      </c>
      <c r="F195" s="217">
        <f>PRODUCT(D195,E195)</f>
        <v>0</v>
      </c>
      <c r="G195" s="218">
        <f>ROUND($J$1*J195,1)</f>
        <v>92.2</v>
      </c>
      <c r="H195" s="217">
        <f>PRODUCT(D195,G195)</f>
        <v>2950.4</v>
      </c>
      <c r="I195" s="216">
        <v>0</v>
      </c>
      <c r="J195" s="215">
        <v>17.399999999999999</v>
      </c>
      <c r="P195" s="214">
        <v>32</v>
      </c>
    </row>
    <row r="196" spans="1:16">
      <c r="A196" s="205">
        <f>(SUM(A195,1))</f>
        <v>156</v>
      </c>
      <c r="B196" s="224" t="s">
        <v>2335</v>
      </c>
      <c r="C196" s="219" t="s">
        <v>2177</v>
      </c>
      <c r="D196" s="214">
        <v>1</v>
      </c>
      <c r="E196" s="218">
        <f>ROUND($I$246*I196,1)</f>
        <v>5160</v>
      </c>
      <c r="F196" s="217">
        <f>PRODUCT(D196,E196)</f>
        <v>5160</v>
      </c>
      <c r="G196" s="218">
        <f>ROUND($J$1*J196,1)</f>
        <v>2279</v>
      </c>
      <c r="H196" s="217">
        <f>PRODUCT(D196,G196)</f>
        <v>2279</v>
      </c>
      <c r="I196" s="216">
        <v>4300</v>
      </c>
      <c r="J196" s="215">
        <v>430</v>
      </c>
      <c r="P196" s="214">
        <v>1</v>
      </c>
    </row>
    <row r="197" spans="1:16">
      <c r="A197" s="201">
        <f>(SUM(A196,1))</f>
        <v>157</v>
      </c>
      <c r="B197" s="198"/>
      <c r="C197" s="200"/>
      <c r="D197" s="200"/>
      <c r="E197" s="200"/>
      <c r="F197" s="199">
        <f>SUM(F184:F196)</f>
        <v>144482.6</v>
      </c>
      <c r="G197" s="198"/>
      <c r="H197" s="199">
        <f>SUM(H184:H196)</f>
        <v>13582.199999999999</v>
      </c>
    </row>
    <row r="198" spans="1:16">
      <c r="A198" s="196">
        <f>(SUM(A197,1))</f>
        <v>158</v>
      </c>
      <c r="B198" s="195" t="s">
        <v>2176</v>
      </c>
      <c r="C198" s="192"/>
      <c r="D198" s="194">
        <v>3</v>
      </c>
      <c r="E198" s="192" t="s">
        <v>565</v>
      </c>
      <c r="F198" s="213">
        <f>ROUND(F197*D198*0.01,1)</f>
        <v>4334.5</v>
      </c>
      <c r="G198" s="192"/>
      <c r="H198" s="191"/>
    </row>
    <row r="199" spans="1:16">
      <c r="A199" s="196">
        <f>(SUM(A198,1))</f>
        <v>159</v>
      </c>
      <c r="B199" s="195" t="s">
        <v>2175</v>
      </c>
      <c r="C199" s="192"/>
      <c r="D199" s="194">
        <v>0</v>
      </c>
      <c r="E199" s="192" t="s">
        <v>565</v>
      </c>
      <c r="F199" s="193"/>
      <c r="G199" s="192"/>
      <c r="H199" s="213">
        <f>ROUND(H197*D199*0.01,1)</f>
        <v>0</v>
      </c>
    </row>
    <row r="200" spans="1:16">
      <c r="A200" s="190">
        <f>(SUM(A199,1))</f>
        <v>160</v>
      </c>
      <c r="B200" s="189" t="s">
        <v>2168</v>
      </c>
      <c r="C200" s="188"/>
      <c r="D200" s="188"/>
      <c r="E200" s="188"/>
      <c r="F200" s="187">
        <f>SUM(F197:F199)</f>
        <v>148817.1</v>
      </c>
      <c r="G200" s="212"/>
      <c r="H200" s="187">
        <f>SUM(H197:H199)</f>
        <v>13582.199999999999</v>
      </c>
    </row>
    <row r="201" spans="1:16">
      <c r="B201" s="229"/>
      <c r="C201" s="192"/>
      <c r="D201" s="192"/>
      <c r="E201" s="192"/>
      <c r="F201" s="228"/>
      <c r="G201" s="192"/>
      <c r="H201" s="228"/>
    </row>
    <row r="202" spans="1:16">
      <c r="B202" s="229"/>
      <c r="C202" s="192"/>
      <c r="D202" s="192"/>
      <c r="E202" s="192"/>
      <c r="F202" s="228"/>
      <c r="G202" s="192"/>
      <c r="H202" s="228"/>
    </row>
    <row r="203" spans="1:16">
      <c r="B203" s="229"/>
      <c r="C203" s="192"/>
      <c r="D203" s="192"/>
      <c r="E203" s="192"/>
      <c r="F203" s="228"/>
      <c r="G203" s="192"/>
      <c r="H203" s="228"/>
    </row>
    <row r="204" spans="1:16">
      <c r="B204" s="227" t="s">
        <v>2354</v>
      </c>
      <c r="C204" s="210"/>
      <c r="D204" s="210"/>
      <c r="E204" s="299" t="s">
        <v>2173</v>
      </c>
      <c r="F204" s="299"/>
      <c r="G204" s="299" t="s">
        <v>2172</v>
      </c>
      <c r="H204" s="299"/>
      <c r="I204" s="215">
        <v>1.2</v>
      </c>
    </row>
    <row r="205" spans="1:16">
      <c r="A205" s="209" t="s">
        <v>2171</v>
      </c>
      <c r="B205" s="226" t="s">
        <v>2170</v>
      </c>
      <c r="C205" s="207" t="s">
        <v>2185</v>
      </c>
      <c r="D205" s="206" t="s">
        <v>2184</v>
      </c>
      <c r="E205" s="207" t="s">
        <v>2183</v>
      </c>
      <c r="F205" s="206" t="s">
        <v>2169</v>
      </c>
      <c r="G205" s="207" t="s">
        <v>2183</v>
      </c>
      <c r="H205" s="206" t="s">
        <v>2169</v>
      </c>
      <c r="I205" s="225"/>
    </row>
    <row r="206" spans="1:16">
      <c r="A206" s="205">
        <f>(SUM(A200,1))</f>
        <v>161</v>
      </c>
      <c r="B206" s="224" t="s">
        <v>2353</v>
      </c>
      <c r="C206" s="219" t="s">
        <v>450</v>
      </c>
      <c r="D206" s="214">
        <v>1</v>
      </c>
      <c r="E206" s="218">
        <f>ROUND($I$246*I206,1)</f>
        <v>6900.7</v>
      </c>
      <c r="F206" s="217">
        <f>PRODUCT(D206,E206)</f>
        <v>6900.7</v>
      </c>
      <c r="G206" s="218">
        <f>ROUND($J$1*J206,1)</f>
        <v>795</v>
      </c>
      <c r="H206" s="217">
        <f>PRODUCT(D206,G206)</f>
        <v>795</v>
      </c>
      <c r="I206" s="215">
        <f>5750.56</f>
        <v>5750.56</v>
      </c>
      <c r="J206" s="215">
        <v>150</v>
      </c>
    </row>
    <row r="207" spans="1:16">
      <c r="A207" s="205">
        <f>(SUM(A206,1))</f>
        <v>162</v>
      </c>
      <c r="B207" s="230" t="s">
        <v>2352</v>
      </c>
      <c r="C207" s="219" t="s">
        <v>450</v>
      </c>
      <c r="D207" s="214">
        <v>1</v>
      </c>
      <c r="E207" s="218">
        <f>ROUND($I$246*I207,1)</f>
        <v>2380.8000000000002</v>
      </c>
      <c r="F207" s="217">
        <f>PRODUCT(D207,E207)</f>
        <v>2380.8000000000002</v>
      </c>
      <c r="G207" s="218">
        <f>ROUND($J$1*J207,1)</f>
        <v>180.2</v>
      </c>
      <c r="H207" s="217">
        <f>PRODUCT(D207,G207)</f>
        <v>180.2</v>
      </c>
      <c r="I207" s="216">
        <v>1984</v>
      </c>
      <c r="J207" s="215">
        <v>34</v>
      </c>
      <c r="P207" s="214">
        <v>1</v>
      </c>
    </row>
    <row r="208" spans="1:16">
      <c r="A208" s="205">
        <f>(SUM(A207,1))</f>
        <v>163</v>
      </c>
      <c r="B208" s="224" t="s">
        <v>2343</v>
      </c>
      <c r="C208" s="219" t="s">
        <v>450</v>
      </c>
      <c r="D208" s="214">
        <v>1</v>
      </c>
      <c r="E208" s="218">
        <f>ROUND($I$246*I208,1)</f>
        <v>13116</v>
      </c>
      <c r="F208" s="217">
        <f>PRODUCT(D208,E208)</f>
        <v>13116</v>
      </c>
      <c r="G208" s="218">
        <f>ROUND($J$1*J208,1)</f>
        <v>360.4</v>
      </c>
      <c r="H208" s="217">
        <f>PRODUCT(D208,G208)</f>
        <v>360.4</v>
      </c>
      <c r="I208" s="216">
        <v>10930</v>
      </c>
      <c r="J208" s="215">
        <v>68</v>
      </c>
      <c r="P208" s="214">
        <v>1</v>
      </c>
    </row>
    <row r="209" spans="1:16">
      <c r="A209" s="205">
        <f>(SUM(A208,1))</f>
        <v>164</v>
      </c>
      <c r="B209" s="224" t="s">
        <v>2342</v>
      </c>
      <c r="C209" s="219" t="s">
        <v>450</v>
      </c>
      <c r="D209" s="214">
        <v>1</v>
      </c>
      <c r="E209" s="218">
        <f>ROUND($I$246*I209,1)</f>
        <v>1237.2</v>
      </c>
      <c r="F209" s="217">
        <f>PRODUCT(D209,E209)</f>
        <v>1237.2</v>
      </c>
      <c r="G209" s="218">
        <f>ROUND($J$1*J209,1)</f>
        <v>180.2</v>
      </c>
      <c r="H209" s="217">
        <f>PRODUCT(D209,G209)</f>
        <v>180.2</v>
      </c>
      <c r="I209" s="216">
        <v>1031</v>
      </c>
      <c r="J209" s="215">
        <v>34</v>
      </c>
      <c r="P209" s="214">
        <v>3</v>
      </c>
    </row>
    <row r="210" spans="1:16">
      <c r="A210" s="205">
        <f>(SUM(A209,1))</f>
        <v>165</v>
      </c>
      <c r="B210" s="224" t="s">
        <v>2351</v>
      </c>
      <c r="C210" s="219" t="s">
        <v>450</v>
      </c>
      <c r="D210" s="214">
        <v>3</v>
      </c>
      <c r="E210" s="218">
        <f>ROUND($I$246*I210,1)</f>
        <v>696</v>
      </c>
      <c r="F210" s="217">
        <f>PRODUCT(D210,E210)</f>
        <v>2088</v>
      </c>
      <c r="G210" s="218">
        <f>ROUND($J$1*J210,1)</f>
        <v>180.2</v>
      </c>
      <c r="H210" s="217">
        <f>PRODUCT(D210,G210)</f>
        <v>540.59999999999991</v>
      </c>
      <c r="I210" s="216">
        <v>580</v>
      </c>
      <c r="J210" s="215">
        <v>34</v>
      </c>
      <c r="P210" s="214">
        <v>5</v>
      </c>
    </row>
    <row r="211" spans="1:16">
      <c r="A211" s="205">
        <f>(SUM(A210,1))</f>
        <v>166</v>
      </c>
      <c r="B211" s="224" t="s">
        <v>2350</v>
      </c>
      <c r="C211" s="219" t="s">
        <v>450</v>
      </c>
      <c r="D211" s="214">
        <v>1</v>
      </c>
      <c r="E211" s="218">
        <f>ROUND($I$246*I211,1)</f>
        <v>187.2</v>
      </c>
      <c r="F211" s="217">
        <f>PRODUCT(D211,E211)</f>
        <v>187.2</v>
      </c>
      <c r="G211" s="218">
        <f>ROUND($J$1*J211,1)</f>
        <v>90.1</v>
      </c>
      <c r="H211" s="217">
        <f>PRODUCT(D211,G211)</f>
        <v>90.1</v>
      </c>
      <c r="I211" s="216">
        <v>156</v>
      </c>
      <c r="J211" s="215">
        <v>17</v>
      </c>
      <c r="P211" s="214">
        <v>15</v>
      </c>
    </row>
    <row r="212" spans="1:16">
      <c r="A212" s="205">
        <f>(SUM(A211,1))</f>
        <v>167</v>
      </c>
      <c r="B212" s="224" t="s">
        <v>2339</v>
      </c>
      <c r="C212" s="219" t="s">
        <v>450</v>
      </c>
      <c r="D212" s="214">
        <v>1</v>
      </c>
      <c r="E212" s="218">
        <f>ROUND($I$246*I212,1)</f>
        <v>225.6</v>
      </c>
      <c r="F212" s="217">
        <f>PRODUCT(D212,E212)</f>
        <v>225.6</v>
      </c>
      <c r="G212" s="218">
        <f>ROUND($J$1*J212,1)</f>
        <v>90.1</v>
      </c>
      <c r="H212" s="217">
        <f>PRODUCT(D212,G212)</f>
        <v>90.1</v>
      </c>
      <c r="I212" s="216">
        <v>188</v>
      </c>
      <c r="J212" s="215">
        <v>17</v>
      </c>
      <c r="P212" s="214">
        <v>11</v>
      </c>
    </row>
    <row r="213" spans="1:16">
      <c r="A213" s="205">
        <f>(SUM(A212,1))</f>
        <v>168</v>
      </c>
      <c r="B213" s="224" t="s">
        <v>2349</v>
      </c>
      <c r="C213" s="219" t="s">
        <v>450</v>
      </c>
      <c r="D213" s="214">
        <v>1</v>
      </c>
      <c r="E213" s="218">
        <f>ROUND($I$246*I213,1)</f>
        <v>1789.3</v>
      </c>
      <c r="F213" s="217">
        <f>PRODUCT(D213,E213)</f>
        <v>1789.3</v>
      </c>
      <c r="G213" s="218">
        <f>ROUND($J$1*J213,1)</f>
        <v>206.7</v>
      </c>
      <c r="H213" s="217">
        <f>PRODUCT(D213,G213)</f>
        <v>206.7</v>
      </c>
      <c r="I213" s="215">
        <v>1491.08</v>
      </c>
      <c r="J213" s="215">
        <v>39</v>
      </c>
    </row>
    <row r="214" spans="1:16">
      <c r="A214" s="205">
        <f>(SUM(A213,1))</f>
        <v>169</v>
      </c>
      <c r="B214" s="224" t="s">
        <v>2348</v>
      </c>
      <c r="C214" s="219" t="s">
        <v>450</v>
      </c>
      <c r="D214" s="214">
        <v>3</v>
      </c>
      <c r="E214" s="218">
        <f>ROUND($I$246*I214,1)</f>
        <v>752</v>
      </c>
      <c r="F214" s="217">
        <f>PRODUCT(D214,E214)</f>
        <v>2256</v>
      </c>
      <c r="G214" s="218">
        <f>ROUND($J$1*J214,1)</f>
        <v>206.7</v>
      </c>
      <c r="H214" s="217">
        <f>PRODUCT(D214,G214)</f>
        <v>620.09999999999991</v>
      </c>
      <c r="I214" s="215">
        <v>626.63</v>
      </c>
      <c r="J214" s="215">
        <v>39</v>
      </c>
    </row>
    <row r="215" spans="1:16">
      <c r="A215" s="205">
        <f>(SUM(A214,1))</f>
        <v>170</v>
      </c>
      <c r="B215" s="224" t="s">
        <v>2347</v>
      </c>
      <c r="C215" s="219" t="s">
        <v>450</v>
      </c>
      <c r="D215" s="214">
        <v>1</v>
      </c>
      <c r="E215" s="218">
        <f>ROUND($I$246*I215,1)</f>
        <v>782.4</v>
      </c>
      <c r="F215" s="217">
        <f>PRODUCT(D215,E215)</f>
        <v>782.4</v>
      </c>
      <c r="G215" s="218">
        <f>ROUND($J$1*J215,1)</f>
        <v>143.1</v>
      </c>
      <c r="H215" s="217">
        <f>PRODUCT(D215,G215)</f>
        <v>143.1</v>
      </c>
      <c r="I215" s="215">
        <v>651.99</v>
      </c>
      <c r="J215" s="215">
        <v>27</v>
      </c>
    </row>
    <row r="216" spans="1:16">
      <c r="A216" s="205">
        <f>(SUM(A215,1))</f>
        <v>171</v>
      </c>
      <c r="B216" s="224" t="s">
        <v>2337</v>
      </c>
      <c r="C216" s="219" t="s">
        <v>450</v>
      </c>
      <c r="D216" s="214">
        <v>1</v>
      </c>
      <c r="E216" s="218">
        <f>ROUND($I$246*I216,1)</f>
        <v>0</v>
      </c>
      <c r="F216" s="217">
        <f>PRODUCT(D216,E216)</f>
        <v>0</v>
      </c>
      <c r="G216" s="218">
        <f>ROUND($J$1*J216,1)</f>
        <v>148.4</v>
      </c>
      <c r="H216" s="217">
        <f>PRODUCT(D216,G216)</f>
        <v>148.4</v>
      </c>
      <c r="I216" s="216">
        <v>0</v>
      </c>
      <c r="J216" s="215">
        <v>28</v>
      </c>
      <c r="P216" s="214">
        <v>1</v>
      </c>
    </row>
    <row r="217" spans="1:16">
      <c r="A217" s="205">
        <f>(SUM(A216,1))</f>
        <v>172</v>
      </c>
      <c r="B217" s="224" t="s">
        <v>2336</v>
      </c>
      <c r="C217" s="219" t="s">
        <v>450</v>
      </c>
      <c r="D217" s="214">
        <v>6</v>
      </c>
      <c r="E217" s="218">
        <f>ROUND($I$246*I217,1)</f>
        <v>0</v>
      </c>
      <c r="F217" s="217">
        <f>PRODUCT(D217,E217)</f>
        <v>0</v>
      </c>
      <c r="G217" s="218">
        <f>ROUND($J$1*J217,1)</f>
        <v>92.2</v>
      </c>
      <c r="H217" s="217">
        <f>PRODUCT(D217,G217)</f>
        <v>553.20000000000005</v>
      </c>
      <c r="I217" s="216">
        <v>0</v>
      </c>
      <c r="J217" s="215">
        <v>17.399999999999999</v>
      </c>
      <c r="P217" s="214">
        <v>72</v>
      </c>
    </row>
    <row r="218" spans="1:16">
      <c r="A218" s="205">
        <f>(SUM(A217,1))</f>
        <v>173</v>
      </c>
      <c r="B218" s="224" t="s">
        <v>2335</v>
      </c>
      <c r="C218" s="219" t="s">
        <v>2177</v>
      </c>
      <c r="D218" s="214">
        <v>1</v>
      </c>
      <c r="E218" s="218">
        <f>ROUND($I$246*I218,1)</f>
        <v>4200</v>
      </c>
      <c r="F218" s="217">
        <f>PRODUCT(D218,E218)</f>
        <v>4200</v>
      </c>
      <c r="G218" s="218">
        <f>ROUND($J$1*J218,1)</f>
        <v>1855</v>
      </c>
      <c r="H218" s="217">
        <f>PRODUCT(D218,G218)</f>
        <v>1855</v>
      </c>
      <c r="I218" s="216">
        <v>3500</v>
      </c>
      <c r="J218" s="215">
        <v>350</v>
      </c>
      <c r="P218" s="214">
        <v>1</v>
      </c>
    </row>
    <row r="219" spans="1:16">
      <c r="A219" s="201">
        <f>(SUM(A218,1))</f>
        <v>174</v>
      </c>
      <c r="B219" s="198"/>
      <c r="C219" s="200"/>
      <c r="D219" s="200"/>
      <c r="E219" s="200"/>
      <c r="F219" s="199">
        <f>SUM(F206:F218)</f>
        <v>35163.199999999997</v>
      </c>
      <c r="G219" s="198"/>
      <c r="H219" s="199">
        <f>SUM(H206:H218)</f>
        <v>5763.0999999999995</v>
      </c>
    </row>
    <row r="220" spans="1:16">
      <c r="A220" s="196">
        <f>(SUM(A219,1))</f>
        <v>175</v>
      </c>
      <c r="B220" s="195" t="s">
        <v>2176</v>
      </c>
      <c r="C220" s="192"/>
      <c r="D220" s="194">
        <v>3</v>
      </c>
      <c r="E220" s="192" t="s">
        <v>565</v>
      </c>
      <c r="F220" s="213">
        <f>ROUND(F219*D220*0.01,1)</f>
        <v>1054.9000000000001</v>
      </c>
      <c r="G220" s="192"/>
      <c r="H220" s="191"/>
    </row>
    <row r="221" spans="1:16">
      <c r="A221" s="196">
        <f>(SUM(A220,1))</f>
        <v>176</v>
      </c>
      <c r="B221" s="195" t="s">
        <v>2175</v>
      </c>
      <c r="C221" s="192"/>
      <c r="D221" s="194">
        <v>0</v>
      </c>
      <c r="E221" s="192" t="s">
        <v>565</v>
      </c>
      <c r="F221" s="193"/>
      <c r="G221" s="192"/>
      <c r="H221" s="213">
        <f>ROUND(H219*D221*0.01,1)</f>
        <v>0</v>
      </c>
    </row>
    <row r="222" spans="1:16">
      <c r="A222" s="190">
        <f>(SUM(A221,1))</f>
        <v>177</v>
      </c>
      <c r="B222" s="189" t="s">
        <v>2168</v>
      </c>
      <c r="C222" s="188"/>
      <c r="D222" s="188"/>
      <c r="E222" s="188"/>
      <c r="F222" s="187">
        <f>SUM(F219:F221)</f>
        <v>36218.1</v>
      </c>
      <c r="G222" s="212"/>
      <c r="H222" s="187">
        <f>SUM(H219:H221)</f>
        <v>5763.0999999999995</v>
      </c>
    </row>
    <row r="223" spans="1:16">
      <c r="B223" s="229"/>
      <c r="C223" s="192"/>
      <c r="D223" s="192"/>
      <c r="E223" s="192"/>
      <c r="F223" s="228"/>
      <c r="G223" s="192"/>
      <c r="H223" s="228"/>
    </row>
    <row r="224" spans="1:16">
      <c r="B224" s="229"/>
      <c r="C224" s="192"/>
      <c r="D224" s="192"/>
      <c r="E224" s="192"/>
      <c r="F224" s="228"/>
      <c r="G224" s="192"/>
      <c r="H224" s="228"/>
    </row>
    <row r="225" spans="1:16">
      <c r="B225" s="229"/>
      <c r="C225" s="192"/>
      <c r="D225" s="192"/>
      <c r="E225" s="192"/>
      <c r="F225" s="228"/>
      <c r="G225" s="192"/>
      <c r="H225" s="228"/>
    </row>
    <row r="226" spans="1:16">
      <c r="B226" s="227" t="s">
        <v>2457</v>
      </c>
      <c r="C226" s="210"/>
      <c r="D226" s="210"/>
      <c r="E226" s="299" t="s">
        <v>2173</v>
      </c>
      <c r="F226" s="299"/>
      <c r="G226" s="299" t="s">
        <v>2172</v>
      </c>
      <c r="H226" s="299"/>
      <c r="I226" s="215">
        <v>1.2</v>
      </c>
    </row>
    <row r="227" spans="1:16">
      <c r="A227" s="209" t="s">
        <v>2171</v>
      </c>
      <c r="B227" s="226" t="s">
        <v>2170</v>
      </c>
      <c r="C227" s="207" t="s">
        <v>2185</v>
      </c>
      <c r="D227" s="206" t="s">
        <v>2184</v>
      </c>
      <c r="E227" s="207" t="s">
        <v>2183</v>
      </c>
      <c r="F227" s="206" t="s">
        <v>2169</v>
      </c>
      <c r="G227" s="207" t="s">
        <v>2183</v>
      </c>
      <c r="H227" s="206" t="s">
        <v>2169</v>
      </c>
      <c r="I227" s="225"/>
    </row>
    <row r="228" spans="1:16">
      <c r="A228" s="205">
        <f>(SUM(A222,1))</f>
        <v>178</v>
      </c>
      <c r="B228" s="224" t="s">
        <v>2345</v>
      </c>
      <c r="C228" s="219" t="s">
        <v>450</v>
      </c>
      <c r="D228" s="214">
        <v>1</v>
      </c>
      <c r="E228" s="218">
        <f>ROUND($I$246*I228,1)</f>
        <v>8280</v>
      </c>
      <c r="F228" s="217">
        <f>PRODUCT(D228,E228)</f>
        <v>8280</v>
      </c>
      <c r="G228" s="218">
        <f>ROUND($J$1*J228,1)</f>
        <v>795</v>
      </c>
      <c r="H228" s="217">
        <f>PRODUCT(D228,G228)</f>
        <v>795</v>
      </c>
      <c r="I228" s="215">
        <f>6900</f>
        <v>6900</v>
      </c>
      <c r="J228" s="215">
        <v>150</v>
      </c>
    </row>
    <row r="229" spans="1:16">
      <c r="A229" s="205">
        <f>(SUM(A228,1))</f>
        <v>179</v>
      </c>
      <c r="B229" s="230" t="s">
        <v>2344</v>
      </c>
      <c r="C229" s="219" t="s">
        <v>450</v>
      </c>
      <c r="D229" s="214">
        <v>1</v>
      </c>
      <c r="E229" s="218">
        <f>ROUND($I$246*I229,1)</f>
        <v>2460</v>
      </c>
      <c r="F229" s="217">
        <f>PRODUCT(D229,E229)</f>
        <v>2460</v>
      </c>
      <c r="G229" s="218">
        <f>ROUND($J$1*J229,1)</f>
        <v>238.5</v>
      </c>
      <c r="H229" s="217">
        <f>PRODUCT(D229,G229)</f>
        <v>238.5</v>
      </c>
      <c r="I229" s="216">
        <v>2050</v>
      </c>
      <c r="J229" s="215">
        <v>45</v>
      </c>
      <c r="P229" s="214">
        <v>1</v>
      </c>
    </row>
    <row r="230" spans="1:16">
      <c r="A230" s="205">
        <f>(SUM(A229,1))</f>
        <v>180</v>
      </c>
      <c r="B230" s="224" t="s">
        <v>2343</v>
      </c>
      <c r="C230" s="219" t="s">
        <v>450</v>
      </c>
      <c r="D230" s="214">
        <v>1</v>
      </c>
      <c r="E230" s="218">
        <f>ROUND($I$246*I230,1)</f>
        <v>13116</v>
      </c>
      <c r="F230" s="217">
        <f>PRODUCT(D230,E230)</f>
        <v>13116</v>
      </c>
      <c r="G230" s="218">
        <f>ROUND($J$1*J230,1)</f>
        <v>360.4</v>
      </c>
      <c r="H230" s="217">
        <f>PRODUCT(D230,G230)</f>
        <v>360.4</v>
      </c>
      <c r="I230" s="216">
        <v>10930</v>
      </c>
      <c r="J230" s="215">
        <v>68</v>
      </c>
      <c r="P230" s="214">
        <v>1</v>
      </c>
    </row>
    <row r="231" spans="1:16">
      <c r="A231" s="205">
        <f>(SUM(A230,1))</f>
        <v>181</v>
      </c>
      <c r="B231" s="224" t="s">
        <v>2342</v>
      </c>
      <c r="C231" s="219" t="s">
        <v>450</v>
      </c>
      <c r="D231" s="214">
        <v>1</v>
      </c>
      <c r="E231" s="218">
        <f>ROUND($I$246*I231,1)</f>
        <v>1237.2</v>
      </c>
      <c r="F231" s="217">
        <f>PRODUCT(D231,E231)</f>
        <v>1237.2</v>
      </c>
      <c r="G231" s="218">
        <f>ROUND($J$1*J231,1)</f>
        <v>180.2</v>
      </c>
      <c r="H231" s="217">
        <f>PRODUCT(D231,G231)</f>
        <v>180.2</v>
      </c>
      <c r="I231" s="216">
        <v>1031</v>
      </c>
      <c r="J231" s="215">
        <v>34</v>
      </c>
      <c r="P231" s="214">
        <v>3</v>
      </c>
    </row>
    <row r="232" spans="1:16">
      <c r="A232" s="205">
        <f>(SUM(A231,1))</f>
        <v>182</v>
      </c>
      <c r="B232" s="224" t="s">
        <v>2341</v>
      </c>
      <c r="C232" s="219" t="s">
        <v>450</v>
      </c>
      <c r="D232" s="301">
        <v>2</v>
      </c>
      <c r="E232" s="218">
        <f>ROUND($I$246*I232,1)</f>
        <v>992.4</v>
      </c>
      <c r="F232" s="217">
        <f>PRODUCT(D232,E232)</f>
        <v>1984.8</v>
      </c>
      <c r="G232" s="218">
        <f>ROUND($J$1*J232,1)</f>
        <v>180.2</v>
      </c>
      <c r="H232" s="217">
        <f>PRODUCT(D232,G232)</f>
        <v>360.4</v>
      </c>
      <c r="I232" s="216">
        <v>827</v>
      </c>
      <c r="J232" s="215">
        <v>34</v>
      </c>
      <c r="P232" s="214">
        <v>3</v>
      </c>
    </row>
    <row r="233" spans="1:16">
      <c r="A233" s="205">
        <f>(SUM(A232,1))</f>
        <v>183</v>
      </c>
      <c r="B233" s="305" t="s">
        <v>2340</v>
      </c>
      <c r="C233" s="304" t="s">
        <v>450</v>
      </c>
      <c r="D233" s="301">
        <v>1</v>
      </c>
      <c r="E233" s="218">
        <f>ROUND($I$246*I233,1)</f>
        <v>868.8</v>
      </c>
      <c r="F233" s="217">
        <f>PRODUCT(D233,E233)</f>
        <v>868.8</v>
      </c>
      <c r="G233" s="218">
        <f>ROUND($J$1*J233,1)</f>
        <v>180.2</v>
      </c>
      <c r="H233" s="217">
        <f>PRODUCT(D233,G233)</f>
        <v>180.2</v>
      </c>
      <c r="I233" s="216">
        <v>724</v>
      </c>
      <c r="J233" s="215">
        <v>34</v>
      </c>
      <c r="P233" s="214">
        <v>3</v>
      </c>
    </row>
    <row r="234" spans="1:16">
      <c r="A234" s="205">
        <f>(SUM(A233,1))</f>
        <v>184</v>
      </c>
      <c r="B234" s="224" t="s">
        <v>2339</v>
      </c>
      <c r="C234" s="219" t="s">
        <v>450</v>
      </c>
      <c r="D234" s="214">
        <v>2</v>
      </c>
      <c r="E234" s="218">
        <f>ROUND($I$246*I234,1)</f>
        <v>225.6</v>
      </c>
      <c r="F234" s="217">
        <f>PRODUCT(D234,E234)</f>
        <v>451.2</v>
      </c>
      <c r="G234" s="218">
        <f>ROUND($J$1*J234,1)</f>
        <v>90.1</v>
      </c>
      <c r="H234" s="217">
        <f>PRODUCT(D234,G234)</f>
        <v>180.2</v>
      </c>
      <c r="I234" s="216">
        <v>188</v>
      </c>
      <c r="J234" s="215">
        <v>17</v>
      </c>
      <c r="P234" s="214">
        <v>11</v>
      </c>
    </row>
    <row r="235" spans="1:16">
      <c r="A235" s="205">
        <f>(SUM(A234,1))</f>
        <v>185</v>
      </c>
      <c r="B235" s="224" t="s">
        <v>2338</v>
      </c>
      <c r="C235" s="219" t="s">
        <v>450</v>
      </c>
      <c r="D235" s="214">
        <v>1</v>
      </c>
      <c r="E235" s="218">
        <f>ROUND($I$246*I235,1)</f>
        <v>3096.6</v>
      </c>
      <c r="F235" s="217">
        <f>PRODUCT(D235,E235)</f>
        <v>3096.6</v>
      </c>
      <c r="G235" s="218">
        <f>ROUND($J$1*J235,1)</f>
        <v>206.7</v>
      </c>
      <c r="H235" s="217">
        <f>PRODUCT(D235,G235)</f>
        <v>206.7</v>
      </c>
      <c r="I235" s="215">
        <v>2580.52</v>
      </c>
      <c r="J235" s="215">
        <v>39</v>
      </c>
    </row>
    <row r="236" spans="1:16">
      <c r="A236" s="205">
        <f>(SUM(A235,1))</f>
        <v>186</v>
      </c>
      <c r="B236" s="224" t="s">
        <v>2337</v>
      </c>
      <c r="C236" s="219" t="s">
        <v>450</v>
      </c>
      <c r="D236" s="214">
        <v>1</v>
      </c>
      <c r="E236" s="218">
        <f>ROUND($I$246*I236,1)</f>
        <v>0</v>
      </c>
      <c r="F236" s="217">
        <f>PRODUCT(D236,E236)</f>
        <v>0</v>
      </c>
      <c r="G236" s="218">
        <f>ROUND($J$1*J236,1)</f>
        <v>148.4</v>
      </c>
      <c r="H236" s="217">
        <f>PRODUCT(D236,G236)</f>
        <v>148.4</v>
      </c>
      <c r="I236" s="216">
        <v>0</v>
      </c>
      <c r="J236" s="215">
        <v>28</v>
      </c>
      <c r="P236" s="214">
        <v>1</v>
      </c>
    </row>
    <row r="237" spans="1:16">
      <c r="A237" s="205">
        <f>(SUM(A236,1))</f>
        <v>187</v>
      </c>
      <c r="B237" s="224" t="s">
        <v>2336</v>
      </c>
      <c r="C237" s="219" t="s">
        <v>450</v>
      </c>
      <c r="D237" s="214">
        <v>7</v>
      </c>
      <c r="E237" s="218">
        <f>ROUND($I$246*I237,1)</f>
        <v>0</v>
      </c>
      <c r="F237" s="217">
        <f>PRODUCT(D237,E237)</f>
        <v>0</v>
      </c>
      <c r="G237" s="218">
        <f>ROUND($J$1*J237,1)</f>
        <v>92.2</v>
      </c>
      <c r="H237" s="217">
        <f>PRODUCT(D237,G237)</f>
        <v>645.4</v>
      </c>
      <c r="I237" s="216">
        <v>0</v>
      </c>
      <c r="J237" s="215">
        <v>17.399999999999999</v>
      </c>
      <c r="P237" s="214">
        <v>72</v>
      </c>
    </row>
    <row r="238" spans="1:16">
      <c r="A238" s="205">
        <f>(SUM(A237,1))</f>
        <v>188</v>
      </c>
      <c r="B238" s="224" t="s">
        <v>2335</v>
      </c>
      <c r="C238" s="219" t="s">
        <v>2177</v>
      </c>
      <c r="D238" s="214">
        <v>1</v>
      </c>
      <c r="E238" s="218">
        <f>ROUND($I$246*I238,1)</f>
        <v>4200</v>
      </c>
      <c r="F238" s="217">
        <f>PRODUCT(D238,E238)</f>
        <v>4200</v>
      </c>
      <c r="G238" s="218">
        <f>ROUND($J$1*J238,1)</f>
        <v>1855</v>
      </c>
      <c r="H238" s="217">
        <f>PRODUCT(D238,G238)</f>
        <v>1855</v>
      </c>
      <c r="I238" s="216">
        <v>3500</v>
      </c>
      <c r="J238" s="215">
        <v>350</v>
      </c>
      <c r="P238" s="214">
        <v>1</v>
      </c>
    </row>
    <row r="239" spans="1:16">
      <c r="A239" s="201">
        <f>(SUM(A238,1))</f>
        <v>189</v>
      </c>
      <c r="B239" s="198"/>
      <c r="C239" s="200"/>
      <c r="D239" s="200"/>
      <c r="E239" s="200"/>
      <c r="F239" s="199">
        <f>SUM(F228:F238)</f>
        <v>35694.6</v>
      </c>
      <c r="G239" s="198"/>
      <c r="H239" s="199">
        <f>SUM(H228:H238)</f>
        <v>5150.3999999999996</v>
      </c>
    </row>
    <row r="240" spans="1:16">
      <c r="A240" s="196">
        <f>(SUM(A239,1))</f>
        <v>190</v>
      </c>
      <c r="B240" s="195" t="s">
        <v>2176</v>
      </c>
      <c r="C240" s="192"/>
      <c r="D240" s="194">
        <v>3</v>
      </c>
      <c r="E240" s="192" t="s">
        <v>565</v>
      </c>
      <c r="F240" s="213">
        <f>ROUND(F239*D240*0.01,1)</f>
        <v>1070.8</v>
      </c>
      <c r="G240" s="192"/>
      <c r="H240" s="191"/>
    </row>
    <row r="241" spans="1:16">
      <c r="A241" s="196">
        <f>(SUM(A240,1))</f>
        <v>191</v>
      </c>
      <c r="B241" s="195" t="s">
        <v>2175</v>
      </c>
      <c r="C241" s="192"/>
      <c r="D241" s="194">
        <v>0</v>
      </c>
      <c r="E241" s="192" t="s">
        <v>565</v>
      </c>
      <c r="F241" s="193"/>
      <c r="G241" s="192"/>
      <c r="H241" s="213">
        <f>ROUND(H239*D241*0.01,1)</f>
        <v>0</v>
      </c>
    </row>
    <row r="242" spans="1:16">
      <c r="A242" s="190">
        <f>(SUM(A241,1))</f>
        <v>192</v>
      </c>
      <c r="B242" s="189" t="s">
        <v>2168</v>
      </c>
      <c r="C242" s="188"/>
      <c r="D242" s="188"/>
      <c r="E242" s="188"/>
      <c r="F242" s="187">
        <f>SUM(F239:F241)</f>
        <v>36765.4</v>
      </c>
      <c r="G242" s="212"/>
      <c r="H242" s="187">
        <f>SUM(H239:H241)</f>
        <v>5150.3999999999996</v>
      </c>
    </row>
    <row r="243" spans="1:16">
      <c r="B243" s="229"/>
      <c r="C243" s="192"/>
      <c r="D243" s="192"/>
      <c r="E243" s="192"/>
      <c r="F243" s="228"/>
      <c r="G243" s="192"/>
      <c r="H243" s="228"/>
    </row>
    <row r="244" spans="1:16">
      <c r="B244" s="229"/>
      <c r="C244" s="192"/>
      <c r="D244" s="192"/>
      <c r="E244" s="192"/>
      <c r="F244" s="228"/>
      <c r="G244" s="192"/>
      <c r="H244" s="228"/>
    </row>
    <row r="246" spans="1:16">
      <c r="B246" s="227" t="s">
        <v>2334</v>
      </c>
      <c r="C246" s="210"/>
      <c r="D246" s="210"/>
      <c r="E246" s="299" t="s">
        <v>2173</v>
      </c>
      <c r="F246" s="299"/>
      <c r="G246" s="299" t="s">
        <v>2172</v>
      </c>
      <c r="H246" s="299"/>
      <c r="I246" s="215">
        <v>1.2</v>
      </c>
      <c r="J246" s="215"/>
    </row>
    <row r="247" spans="1:16">
      <c r="A247" s="209" t="s">
        <v>2171</v>
      </c>
      <c r="B247" s="226" t="s">
        <v>2170</v>
      </c>
      <c r="C247" s="207" t="s">
        <v>2185</v>
      </c>
      <c r="D247" s="206" t="s">
        <v>2184</v>
      </c>
      <c r="E247" s="207" t="s">
        <v>2183</v>
      </c>
      <c r="F247" s="206" t="s">
        <v>2169</v>
      </c>
      <c r="G247" s="207" t="s">
        <v>2183</v>
      </c>
      <c r="H247" s="206" t="s">
        <v>2169</v>
      </c>
      <c r="I247" s="178"/>
      <c r="J247" s="178"/>
    </row>
    <row r="248" spans="1:16" ht="16.5">
      <c r="A248" s="205">
        <f>(SUM(A200,1))</f>
        <v>161</v>
      </c>
      <c r="B248" s="242" t="s">
        <v>2333</v>
      </c>
      <c r="C248" s="222" t="s">
        <v>450</v>
      </c>
      <c r="D248" s="221">
        <f>P248-'EL-A'!D248</f>
        <v>20</v>
      </c>
      <c r="E248" s="218">
        <f>ROUND($I$246*I248,1)</f>
        <v>5244</v>
      </c>
      <c r="F248" s="217">
        <f>PRODUCT(D248,E248)</f>
        <v>104880</v>
      </c>
      <c r="G248" s="218">
        <f>ROUND($J$1*J248,1)</f>
        <v>344.5</v>
      </c>
      <c r="H248" s="217">
        <f>PRODUCT(D248,G248)</f>
        <v>6890</v>
      </c>
      <c r="I248" s="216">
        <f>3570+800</f>
        <v>4370</v>
      </c>
      <c r="J248" s="215">
        <v>65</v>
      </c>
      <c r="P248" s="221">
        <v>38</v>
      </c>
    </row>
    <row r="249" spans="1:16" ht="16.5">
      <c r="A249" s="205">
        <f>(SUM(A248,1))</f>
        <v>162</v>
      </c>
      <c r="B249" s="242" t="s">
        <v>2332</v>
      </c>
      <c r="C249" s="222" t="s">
        <v>450</v>
      </c>
      <c r="D249" s="221">
        <f>P249-'EL-A'!D249</f>
        <v>2</v>
      </c>
      <c r="E249" s="218">
        <f>ROUND($I$246*I249,1)</f>
        <v>5424</v>
      </c>
      <c r="F249" s="217">
        <f>PRODUCT(D249,E249)</f>
        <v>10848</v>
      </c>
      <c r="G249" s="218">
        <f>ROUND($J$1*J249,1)</f>
        <v>344.5</v>
      </c>
      <c r="H249" s="217">
        <f>PRODUCT(D249,G249)</f>
        <v>689</v>
      </c>
      <c r="I249" s="216">
        <f>3720+800</f>
        <v>4520</v>
      </c>
      <c r="J249" s="215">
        <v>65</v>
      </c>
      <c r="P249" s="221">
        <v>4</v>
      </c>
    </row>
    <row r="250" spans="1:16" ht="16.5">
      <c r="A250" s="205">
        <f>(SUM(A249,1))</f>
        <v>163</v>
      </c>
      <c r="B250" s="242" t="s">
        <v>2329</v>
      </c>
      <c r="C250" s="222" t="s">
        <v>450</v>
      </c>
      <c r="D250" s="221">
        <f>P250-'EL-A'!D252</f>
        <v>54</v>
      </c>
      <c r="E250" s="218">
        <f>ROUND($I$246*I250,1)</f>
        <v>4920</v>
      </c>
      <c r="F250" s="217">
        <f>PRODUCT(D250,E250)</f>
        <v>265680</v>
      </c>
      <c r="G250" s="218">
        <f>ROUND($J$1*J250,1)</f>
        <v>344.5</v>
      </c>
      <c r="H250" s="217">
        <f>PRODUCT(D250,G250)</f>
        <v>18603</v>
      </c>
      <c r="I250" s="216">
        <f>3300+800</f>
        <v>4100</v>
      </c>
      <c r="J250" s="215">
        <v>65</v>
      </c>
      <c r="P250" s="221">
        <v>118</v>
      </c>
    </row>
    <row r="251" spans="1:16" ht="16.5">
      <c r="A251" s="205">
        <f>(SUM(A250,1))</f>
        <v>164</v>
      </c>
      <c r="B251" s="242" t="s">
        <v>2328</v>
      </c>
      <c r="C251" s="222" t="s">
        <v>450</v>
      </c>
      <c r="D251" s="221">
        <f>P251-'EL-A'!D253</f>
        <v>8</v>
      </c>
      <c r="E251" s="218">
        <f>ROUND($I$246*I251,1)</f>
        <v>4800</v>
      </c>
      <c r="F251" s="217">
        <f>PRODUCT(D251,E251)</f>
        <v>38400</v>
      </c>
      <c r="G251" s="218">
        <f>ROUND($J$1*J251,1)</f>
        <v>344.5</v>
      </c>
      <c r="H251" s="217">
        <f>PRODUCT(D251,G251)</f>
        <v>2756</v>
      </c>
      <c r="I251" s="216">
        <f>3200+800</f>
        <v>4000</v>
      </c>
      <c r="J251" s="215">
        <v>65</v>
      </c>
      <c r="P251" s="221">
        <v>17</v>
      </c>
    </row>
    <row r="252" spans="1:16" ht="16.5">
      <c r="A252" s="205">
        <f>(SUM(A251,1))</f>
        <v>165</v>
      </c>
      <c r="B252" s="242" t="s">
        <v>2327</v>
      </c>
      <c r="C252" s="222" t="s">
        <v>450</v>
      </c>
      <c r="D252" s="221">
        <f>P252-'EL-A'!D254</f>
        <v>2</v>
      </c>
      <c r="E252" s="218">
        <f>ROUND($I$246*I252,1)</f>
        <v>3024</v>
      </c>
      <c r="F252" s="217">
        <f>PRODUCT(D252,E252)</f>
        <v>6048</v>
      </c>
      <c r="G252" s="218">
        <f>ROUND($J$1*J252,1)</f>
        <v>344.5</v>
      </c>
      <c r="H252" s="217">
        <f>PRODUCT(D252,G252)</f>
        <v>689</v>
      </c>
      <c r="I252" s="216">
        <v>2520</v>
      </c>
      <c r="J252" s="215">
        <v>65</v>
      </c>
      <c r="P252" s="221">
        <v>4</v>
      </c>
    </row>
    <row r="253" spans="1:16" ht="16.5">
      <c r="A253" s="205">
        <f>(SUM(A252,1))</f>
        <v>166</v>
      </c>
      <c r="B253" s="242" t="s">
        <v>2325</v>
      </c>
      <c r="C253" s="222" t="s">
        <v>450</v>
      </c>
      <c r="D253" s="221">
        <v>5</v>
      </c>
      <c r="E253" s="218">
        <f>ROUND($I$246*I253,1)</f>
        <v>4814.8999999999996</v>
      </c>
      <c r="F253" s="217">
        <f>PRODUCT(D253,E253)</f>
        <v>24074.5</v>
      </c>
      <c r="G253" s="218">
        <f>ROUND($J$1*J253,1)</f>
        <v>344.5</v>
      </c>
      <c r="H253" s="217">
        <f>PRODUCT(D253,G253)</f>
        <v>1722.5</v>
      </c>
      <c r="I253" s="216">
        <f>4855/1.21</f>
        <v>4012.3966942148763</v>
      </c>
      <c r="J253" s="215">
        <v>65</v>
      </c>
      <c r="P253" s="221">
        <v>6</v>
      </c>
    </row>
    <row r="254" spans="1:16" ht="16.5">
      <c r="A254" s="205">
        <f>(SUM(A253,1))</f>
        <v>167</v>
      </c>
      <c r="B254" s="241" t="s">
        <v>2324</v>
      </c>
      <c r="C254" s="219" t="s">
        <v>450</v>
      </c>
      <c r="D254" s="221">
        <f>P254-'EL-A'!D257</f>
        <v>11</v>
      </c>
      <c r="E254" s="218">
        <f>ROUND($I$246*I254,1)</f>
        <v>2160</v>
      </c>
      <c r="F254" s="217">
        <f>PRODUCT(D254,E254)</f>
        <v>23760</v>
      </c>
      <c r="G254" s="218">
        <f>ROUND($J$1*J254,1)</f>
        <v>344.5</v>
      </c>
      <c r="H254" s="217">
        <f>PRODUCT(D254,G254)</f>
        <v>3789.5</v>
      </c>
      <c r="I254" s="216">
        <v>1800</v>
      </c>
      <c r="J254" s="215">
        <v>65</v>
      </c>
      <c r="P254" s="214">
        <v>20</v>
      </c>
    </row>
    <row r="255" spans="1:16">
      <c r="A255" s="205">
        <f>(SUM(A254,1))</f>
        <v>168</v>
      </c>
      <c r="B255" s="241" t="s">
        <v>2323</v>
      </c>
      <c r="C255" s="219" t="s">
        <v>450</v>
      </c>
      <c r="D255" s="221">
        <f>P255-'EL-A'!D258</f>
        <v>12</v>
      </c>
      <c r="E255" s="218">
        <f>ROUND($I$246*I255,1)</f>
        <v>720</v>
      </c>
      <c r="F255" s="217">
        <f>PRODUCT(D255,E255)</f>
        <v>8640</v>
      </c>
      <c r="G255" s="218">
        <f>ROUND($J$1*J255,1)</f>
        <v>344.5</v>
      </c>
      <c r="H255" s="217">
        <f>PRODUCT(D255,G255)</f>
        <v>4134</v>
      </c>
      <c r="I255" s="216">
        <v>600</v>
      </c>
      <c r="J255" s="215">
        <v>65</v>
      </c>
      <c r="P255" s="214">
        <v>18</v>
      </c>
    </row>
    <row r="256" spans="1:16" ht="16.5">
      <c r="A256" s="205">
        <f>(SUM(A255,1))</f>
        <v>169</v>
      </c>
      <c r="B256" s="241" t="s">
        <v>2322</v>
      </c>
      <c r="C256" s="219" t="s">
        <v>450</v>
      </c>
      <c r="D256" s="221">
        <f>P256-'EL-A'!D259</f>
        <v>22</v>
      </c>
      <c r="E256" s="218">
        <f>ROUND($I$246*I256,1)</f>
        <v>2760</v>
      </c>
      <c r="F256" s="217">
        <f>PRODUCT(D256,E256)</f>
        <v>60720</v>
      </c>
      <c r="G256" s="218">
        <f>ROUND($J$1*J256,1)</f>
        <v>503.5</v>
      </c>
      <c r="H256" s="217">
        <f>PRODUCT(D256,G256)</f>
        <v>11077</v>
      </c>
      <c r="I256" s="216">
        <v>2300</v>
      </c>
      <c r="J256" s="215">
        <v>95</v>
      </c>
      <c r="P256" s="214">
        <v>30</v>
      </c>
    </row>
    <row r="257" spans="1:16" ht="16.5">
      <c r="A257" s="205">
        <f>(SUM(A256,1))</f>
        <v>170</v>
      </c>
      <c r="B257" s="241" t="s">
        <v>2321</v>
      </c>
      <c r="C257" s="219" t="s">
        <v>450</v>
      </c>
      <c r="D257" s="221">
        <f>P257-'EL-A'!D260</f>
        <v>41</v>
      </c>
      <c r="E257" s="218">
        <f>ROUND($I$246*I257,1)</f>
        <v>840</v>
      </c>
      <c r="F257" s="217">
        <f>PRODUCT(D257,E257)</f>
        <v>34440</v>
      </c>
      <c r="G257" s="218">
        <f>ROUND($J$1*J257,1)</f>
        <v>344.5</v>
      </c>
      <c r="H257" s="217">
        <f>PRODUCT(D257,G257)</f>
        <v>14124.5</v>
      </c>
      <c r="I257" s="216">
        <v>700</v>
      </c>
      <c r="J257" s="215">
        <v>65</v>
      </c>
      <c r="P257" s="214">
        <v>81</v>
      </c>
    </row>
    <row r="258" spans="1:16" ht="16.5">
      <c r="A258" s="205">
        <f>(SUM(A257,1))</f>
        <v>171</v>
      </c>
      <c r="B258" s="243" t="s">
        <v>2320</v>
      </c>
      <c r="C258" s="219" t="s">
        <v>450</v>
      </c>
      <c r="D258" s="221">
        <f>P258-'EL-A'!D261</f>
        <v>4</v>
      </c>
      <c r="E258" s="218">
        <f>ROUND($I$246*I258,1)</f>
        <v>1716</v>
      </c>
      <c r="F258" s="217">
        <f>PRODUCT(D258,E258)</f>
        <v>6864</v>
      </c>
      <c r="G258" s="218">
        <f>ROUND($J$1*J258,1)</f>
        <v>344.5</v>
      </c>
      <c r="H258" s="217">
        <f>PRODUCT(D258,G258)</f>
        <v>1378</v>
      </c>
      <c r="I258" s="216">
        <v>1430</v>
      </c>
      <c r="J258" s="215">
        <v>65</v>
      </c>
      <c r="P258" s="214">
        <v>8</v>
      </c>
    </row>
    <row r="259" spans="1:16" ht="16.5">
      <c r="A259" s="205">
        <f>(SUM(A258,1))</f>
        <v>172</v>
      </c>
      <c r="B259" s="243" t="s">
        <v>2319</v>
      </c>
      <c r="C259" s="219" t="s">
        <v>450</v>
      </c>
      <c r="D259" s="221">
        <f>P259-'EL-A'!D262</f>
        <v>16</v>
      </c>
      <c r="E259" s="218">
        <f>ROUND($I$246*I259,1)</f>
        <v>2280</v>
      </c>
      <c r="F259" s="217">
        <f>PRODUCT(D259,E259)</f>
        <v>36480</v>
      </c>
      <c r="G259" s="218">
        <f>ROUND($J$1*J259,1)</f>
        <v>344.5</v>
      </c>
      <c r="H259" s="217">
        <f>PRODUCT(D259,G259)</f>
        <v>5512</v>
      </c>
      <c r="I259" s="216">
        <v>1900</v>
      </c>
      <c r="J259" s="215">
        <v>65</v>
      </c>
      <c r="P259" s="214">
        <v>34</v>
      </c>
    </row>
    <row r="260" spans="1:16" ht="16.5">
      <c r="A260" s="205">
        <f>(SUM(A259,1))</f>
        <v>173</v>
      </c>
      <c r="B260" s="243" t="s">
        <v>2318</v>
      </c>
      <c r="C260" s="219" t="s">
        <v>450</v>
      </c>
      <c r="D260" s="221">
        <f>P260-'EL-A'!D263</f>
        <v>3</v>
      </c>
      <c r="E260" s="218">
        <f>ROUND($I$246*I260,1)</f>
        <v>2280</v>
      </c>
      <c r="F260" s="217">
        <f>PRODUCT(D260,E260)</f>
        <v>6840</v>
      </c>
      <c r="G260" s="218">
        <f>ROUND($J$1*J260,1)</f>
        <v>344.5</v>
      </c>
      <c r="H260" s="217">
        <f>PRODUCT(D260,G260)</f>
        <v>1033.5</v>
      </c>
      <c r="I260" s="216">
        <v>1900</v>
      </c>
      <c r="J260" s="215">
        <v>65</v>
      </c>
      <c r="P260" s="214">
        <v>5</v>
      </c>
    </row>
    <row r="261" spans="1:16" ht="16.5">
      <c r="A261" s="205">
        <f>(SUM(A260,1))</f>
        <v>174</v>
      </c>
      <c r="B261" s="242" t="s">
        <v>2317</v>
      </c>
      <c r="C261" s="222" t="s">
        <v>450</v>
      </c>
      <c r="D261" s="221">
        <v>12</v>
      </c>
      <c r="E261" s="218">
        <f>ROUND($I$246*I261,1)</f>
        <v>12000</v>
      </c>
      <c r="F261" s="217">
        <f>PRODUCT(D261,E261)</f>
        <v>144000</v>
      </c>
      <c r="G261" s="218">
        <f>ROUND($J$1*J261,1)</f>
        <v>344.5</v>
      </c>
      <c r="H261" s="217">
        <f>PRODUCT(D261,G261)</f>
        <v>4134</v>
      </c>
      <c r="I261" s="216">
        <f>12100/1.21</f>
        <v>10000</v>
      </c>
      <c r="J261" s="215">
        <v>65</v>
      </c>
      <c r="P261" s="221">
        <v>18</v>
      </c>
    </row>
    <row r="262" spans="1:16" ht="16.5">
      <c r="A262" s="205">
        <f>(SUM(A261,1))</f>
        <v>175</v>
      </c>
      <c r="B262" s="241" t="s">
        <v>2316</v>
      </c>
      <c r="C262" s="219" t="s">
        <v>429</v>
      </c>
      <c r="D262" s="221">
        <f>P262-'EL-A'!D265</f>
        <v>10</v>
      </c>
      <c r="E262" s="218">
        <f>ROUND($I$246*I262,1)</f>
        <v>3480</v>
      </c>
      <c r="F262" s="217">
        <f>PRODUCT(D262,E262)</f>
        <v>34800</v>
      </c>
      <c r="G262" s="218">
        <f>ROUND($J$1*J262,1)</f>
        <v>1325</v>
      </c>
      <c r="H262" s="217">
        <f>PRODUCT(D262,G262)</f>
        <v>13250</v>
      </c>
      <c r="I262" s="215">
        <v>2900</v>
      </c>
      <c r="J262" s="215">
        <v>250</v>
      </c>
      <c r="P262" s="214">
        <v>24</v>
      </c>
    </row>
    <row r="263" spans="1:16">
      <c r="A263" s="205">
        <f>(SUM(A262,1))</f>
        <v>176</v>
      </c>
      <c r="B263" s="241" t="s">
        <v>2315</v>
      </c>
      <c r="C263" s="219" t="s">
        <v>450</v>
      </c>
      <c r="D263" s="214">
        <v>36</v>
      </c>
      <c r="E263" s="218">
        <f>ROUND($I$246*I263,1)</f>
        <v>2280</v>
      </c>
      <c r="F263" s="217">
        <f>PRODUCT(D263,E263)</f>
        <v>82080</v>
      </c>
      <c r="G263" s="218">
        <f>ROUND($J$1*J263,1)</f>
        <v>238.5</v>
      </c>
      <c r="H263" s="217">
        <f>PRODUCT(D263,G263)</f>
        <v>8586</v>
      </c>
      <c r="I263" s="216">
        <v>1900</v>
      </c>
      <c r="J263" s="215">
        <v>45</v>
      </c>
      <c r="P263" s="214">
        <v>45</v>
      </c>
    </row>
    <row r="264" spans="1:16">
      <c r="A264" s="205">
        <f>(SUM(A263,1))</f>
        <v>177</v>
      </c>
      <c r="B264" s="241" t="s">
        <v>2314</v>
      </c>
      <c r="C264" s="219" t="s">
        <v>450</v>
      </c>
      <c r="D264" s="221">
        <v>32</v>
      </c>
      <c r="E264" s="218">
        <f>ROUND($I$246*I264,1)</f>
        <v>3120</v>
      </c>
      <c r="F264" s="217">
        <f>PRODUCT(D264,E264)</f>
        <v>99840</v>
      </c>
      <c r="G264" s="218">
        <f>ROUND($J$1*J264,1)</f>
        <v>238.5</v>
      </c>
      <c r="H264" s="217">
        <f>PRODUCT(D264,G264)</f>
        <v>7632</v>
      </c>
      <c r="I264" s="216">
        <v>2600</v>
      </c>
      <c r="J264" s="215">
        <v>45</v>
      </c>
      <c r="P264" s="214">
        <v>45</v>
      </c>
    </row>
    <row r="265" spans="1:16">
      <c r="A265" s="201">
        <f>(SUM(A264,1))</f>
        <v>178</v>
      </c>
      <c r="B265" s="198"/>
      <c r="C265" s="200"/>
      <c r="D265" s="200"/>
      <c r="E265" s="200"/>
      <c r="F265" s="199">
        <f>SUM(F248:F264)</f>
        <v>988394.5</v>
      </c>
      <c r="G265" s="198"/>
      <c r="H265" s="199">
        <f>SUM(H248:H264)</f>
        <v>106000</v>
      </c>
    </row>
    <row r="266" spans="1:16">
      <c r="A266" s="196">
        <f>(SUM(A265,1))</f>
        <v>179</v>
      </c>
      <c r="B266" s="195" t="s">
        <v>2176</v>
      </c>
      <c r="C266" s="192"/>
      <c r="D266" s="194">
        <v>3</v>
      </c>
      <c r="E266" s="192" t="s">
        <v>565</v>
      </c>
      <c r="F266" s="213">
        <f>ROUND(F265*D266*0.01,1)</f>
        <v>29651.8</v>
      </c>
      <c r="G266" s="192"/>
      <c r="H266" s="191"/>
    </row>
    <row r="267" spans="1:16">
      <c r="A267" s="196">
        <f>(SUM(A266,1))</f>
        <v>180</v>
      </c>
      <c r="B267" s="195" t="s">
        <v>2313</v>
      </c>
      <c r="C267" s="192"/>
      <c r="D267" s="194">
        <v>6</v>
      </c>
      <c r="E267" s="192" t="s">
        <v>565</v>
      </c>
      <c r="F267" s="193"/>
      <c r="G267" s="192"/>
      <c r="H267" s="213">
        <f>ROUND(H265*D267*0.01,1)</f>
        <v>6360</v>
      </c>
    </row>
    <row r="268" spans="1:16">
      <c r="A268" s="190">
        <f>(SUM(A267,1))</f>
        <v>181</v>
      </c>
      <c r="B268" s="189" t="s">
        <v>2168</v>
      </c>
      <c r="C268" s="188"/>
      <c r="D268" s="188"/>
      <c r="E268" s="188"/>
      <c r="F268" s="187">
        <f>SUM(F265:F267)</f>
        <v>1018046.3</v>
      </c>
      <c r="G268" s="212"/>
      <c r="H268" s="187">
        <f>SUM(H265:H267)</f>
        <v>112360</v>
      </c>
    </row>
    <row r="271" spans="1:16">
      <c r="B271" s="229"/>
      <c r="C271" s="192"/>
      <c r="D271" s="192"/>
      <c r="E271" s="192"/>
      <c r="F271" s="228"/>
      <c r="G271" s="192"/>
      <c r="H271" s="228"/>
    </row>
    <row r="272" spans="1:16">
      <c r="A272" s="211"/>
      <c r="B272" s="227" t="s">
        <v>2312</v>
      </c>
      <c r="C272" s="210"/>
      <c r="D272" s="210"/>
      <c r="E272" s="299" t="s">
        <v>2173</v>
      </c>
      <c r="F272" s="299"/>
      <c r="G272" s="299" t="s">
        <v>2172</v>
      </c>
      <c r="H272" s="299"/>
      <c r="I272" s="225"/>
      <c r="J272" s="225"/>
    </row>
    <row r="273" spans="1:16">
      <c r="A273" s="209" t="s">
        <v>2171</v>
      </c>
      <c r="B273" s="226" t="s">
        <v>2170</v>
      </c>
      <c r="C273" s="207" t="s">
        <v>2185</v>
      </c>
      <c r="D273" s="206" t="s">
        <v>2184</v>
      </c>
      <c r="E273" s="207" t="s">
        <v>2183</v>
      </c>
      <c r="F273" s="206" t="s">
        <v>2169</v>
      </c>
      <c r="G273" s="207" t="s">
        <v>2183</v>
      </c>
      <c r="H273" s="206" t="s">
        <v>2169</v>
      </c>
      <c r="I273" s="178" t="s">
        <v>2173</v>
      </c>
      <c r="J273" s="178" t="s">
        <v>2172</v>
      </c>
    </row>
    <row r="274" spans="1:16">
      <c r="A274" s="205">
        <f>(SUM(A268,1))</f>
        <v>182</v>
      </c>
      <c r="B274" s="224" t="s">
        <v>2311</v>
      </c>
      <c r="C274" s="219" t="s">
        <v>193</v>
      </c>
      <c r="D274" s="221">
        <f>P274-'EL-A'!D277</f>
        <v>270</v>
      </c>
      <c r="E274" s="218">
        <f>ROUND($I$1*I274,1)</f>
        <v>147</v>
      </c>
      <c r="F274" s="217">
        <f>PRODUCT(D274,E274)</f>
        <v>39690</v>
      </c>
      <c r="G274" s="218">
        <f>ROUND($J$1*J274,1)</f>
        <v>27.6</v>
      </c>
      <c r="H274" s="217">
        <f>PRODUCT(D274,G274)</f>
        <v>7452</v>
      </c>
      <c r="I274" s="216">
        <v>70</v>
      </c>
      <c r="J274" s="215">
        <v>5.2</v>
      </c>
      <c r="K274" s="215"/>
      <c r="P274" s="214">
        <v>450</v>
      </c>
    </row>
    <row r="275" spans="1:16">
      <c r="A275" s="205">
        <f>(SUM(A274,1))</f>
        <v>183</v>
      </c>
      <c r="B275" s="230" t="s">
        <v>2310</v>
      </c>
      <c r="C275" s="219" t="s">
        <v>193</v>
      </c>
      <c r="D275" s="221">
        <v>100</v>
      </c>
      <c r="E275" s="218">
        <f>ROUND($I$1*I275,1)</f>
        <v>48.3</v>
      </c>
      <c r="F275" s="217">
        <f>PRODUCT(D275,E275)</f>
        <v>4830</v>
      </c>
      <c r="G275" s="218">
        <f>ROUND($J$1*J275,1)</f>
        <v>15.4</v>
      </c>
      <c r="H275" s="217">
        <f>PRODUCT(D275,G275)</f>
        <v>1540</v>
      </c>
      <c r="I275" s="216">
        <v>23</v>
      </c>
      <c r="J275" s="215">
        <v>2.9</v>
      </c>
      <c r="K275" s="215"/>
      <c r="P275" s="214">
        <v>150</v>
      </c>
    </row>
    <row r="276" spans="1:16">
      <c r="A276" s="205">
        <f>(SUM(A275,1))</f>
        <v>184</v>
      </c>
      <c r="B276" s="230" t="s">
        <v>2309</v>
      </c>
      <c r="C276" s="219" t="s">
        <v>193</v>
      </c>
      <c r="D276" s="221">
        <f>P276-'EL-A'!D279</f>
        <v>200</v>
      </c>
      <c r="E276" s="218">
        <f>ROUND($I$1*I276,1)</f>
        <v>31.1</v>
      </c>
      <c r="F276" s="217">
        <f>PRODUCT(D276,E276)</f>
        <v>6220</v>
      </c>
      <c r="G276" s="218">
        <f>ROUND($J$1*J276,1)</f>
        <v>57.2</v>
      </c>
      <c r="H276" s="217">
        <f>PRODUCT(D276,G276)</f>
        <v>11440</v>
      </c>
      <c r="I276" s="216">
        <v>14.8</v>
      </c>
      <c r="J276" s="215">
        <v>10.8</v>
      </c>
      <c r="K276" s="215"/>
      <c r="P276" s="214">
        <v>500</v>
      </c>
    </row>
    <row r="277" spans="1:16">
      <c r="A277" s="205">
        <f>(SUM(A276,1))</f>
        <v>185</v>
      </c>
      <c r="B277" s="223" t="s">
        <v>2308</v>
      </c>
      <c r="C277" s="222" t="s">
        <v>193</v>
      </c>
      <c r="D277" s="221">
        <f>P277-'EL-A'!D280</f>
        <v>50</v>
      </c>
      <c r="E277" s="218">
        <f>ROUND($I$1*I277,1)</f>
        <v>176.6</v>
      </c>
      <c r="F277" s="217">
        <f>PRODUCT(D277,E277)</f>
        <v>8830</v>
      </c>
      <c r="G277" s="218">
        <f>ROUND($J$1*J277,1)</f>
        <v>27.6</v>
      </c>
      <c r="H277" s="217">
        <f>PRODUCT(D277,G277)</f>
        <v>1380</v>
      </c>
      <c r="I277" s="215">
        <v>84.08</v>
      </c>
      <c r="J277" s="215">
        <v>5.2</v>
      </c>
      <c r="P277" s="221">
        <v>100</v>
      </c>
    </row>
    <row r="278" spans="1:16">
      <c r="A278" s="205">
        <f>(SUM(A277,1))</f>
        <v>186</v>
      </c>
      <c r="B278" s="224" t="s">
        <v>2307</v>
      </c>
      <c r="C278" s="219" t="s">
        <v>450</v>
      </c>
      <c r="D278" s="221">
        <f>P278-'EL-A'!D281</f>
        <v>160</v>
      </c>
      <c r="E278" s="218">
        <f>ROUND($I$1*I278,1)</f>
        <v>20.6</v>
      </c>
      <c r="F278" s="217">
        <f>PRODUCT(D278,E278)</f>
        <v>3296</v>
      </c>
      <c r="G278" s="218">
        <f>ROUND($J$1*J278,1)</f>
        <v>57.2</v>
      </c>
      <c r="H278" s="217">
        <f>PRODUCT(D278,G278)</f>
        <v>9152</v>
      </c>
      <c r="I278" s="216">
        <v>9.8000000000000007</v>
      </c>
      <c r="J278" s="215">
        <v>10.8</v>
      </c>
      <c r="K278" s="215"/>
      <c r="P278" s="214">
        <v>400</v>
      </c>
    </row>
    <row r="279" spans="1:16">
      <c r="A279" s="205">
        <f>(SUM(A278,1))</f>
        <v>187</v>
      </c>
      <c r="B279" s="224" t="s">
        <v>2306</v>
      </c>
      <c r="C279" s="219" t="s">
        <v>450</v>
      </c>
      <c r="D279" s="221">
        <f>P279-'EL-A'!D282</f>
        <v>12</v>
      </c>
      <c r="E279" s="218">
        <f>ROUND($I$1*I279,1)</f>
        <v>87.8</v>
      </c>
      <c r="F279" s="217">
        <f>PRODUCT(D279,E279)</f>
        <v>1053.5999999999999</v>
      </c>
      <c r="G279" s="218">
        <f>ROUND($J$1*J279,1)</f>
        <v>57.2</v>
      </c>
      <c r="H279" s="217">
        <f>PRODUCT(D279,G279)</f>
        <v>686.40000000000009</v>
      </c>
      <c r="I279" s="216">
        <v>41.8</v>
      </c>
      <c r="J279" s="215">
        <v>10.8</v>
      </c>
      <c r="K279" s="215"/>
      <c r="P279" s="214">
        <v>25</v>
      </c>
    </row>
    <row r="280" spans="1:16">
      <c r="A280" s="205">
        <f>(SUM(A279,1))</f>
        <v>188</v>
      </c>
      <c r="B280" s="224" t="s">
        <v>2305</v>
      </c>
      <c r="C280" s="219" t="s">
        <v>450</v>
      </c>
      <c r="D280" s="221">
        <f>P280-'EL-A'!D283</f>
        <v>25</v>
      </c>
      <c r="E280" s="218">
        <f>ROUND($I$1*I280,1)</f>
        <v>54.2</v>
      </c>
      <c r="F280" s="217">
        <f>PRODUCT(D280,E280)</f>
        <v>1355</v>
      </c>
      <c r="G280" s="218">
        <f>ROUND($J$1*J280,1)</f>
        <v>82.7</v>
      </c>
      <c r="H280" s="217">
        <f>PRODUCT(D280,G280)</f>
        <v>2067.5</v>
      </c>
      <c r="I280" s="216">
        <v>25.8</v>
      </c>
      <c r="J280" s="215">
        <v>15.6</v>
      </c>
      <c r="K280" s="215"/>
      <c r="P280" s="214">
        <v>50</v>
      </c>
    </row>
    <row r="281" spans="1:16">
      <c r="A281" s="205">
        <f>(SUM(A280,1))</f>
        <v>189</v>
      </c>
      <c r="B281" s="224" t="s">
        <v>2304</v>
      </c>
      <c r="C281" s="219" t="s">
        <v>450</v>
      </c>
      <c r="D281" s="221">
        <f>P281-'EL-A'!D284</f>
        <v>22</v>
      </c>
      <c r="E281" s="218">
        <f>ROUND($I$1*I281,1)</f>
        <v>63.6</v>
      </c>
      <c r="F281" s="217">
        <f>PRODUCT(D281,E281)</f>
        <v>1399.2</v>
      </c>
      <c r="G281" s="218">
        <f>ROUND($J$1*J281,1)</f>
        <v>57.2</v>
      </c>
      <c r="H281" s="217">
        <f>PRODUCT(D281,G281)</f>
        <v>1258.4000000000001</v>
      </c>
      <c r="I281" s="216">
        <v>30.29</v>
      </c>
      <c r="J281" s="215">
        <v>10.8</v>
      </c>
      <c r="K281" s="215"/>
      <c r="P281" s="214">
        <v>40</v>
      </c>
    </row>
    <row r="282" spans="1:16">
      <c r="A282" s="205">
        <f>(SUM(A281,1))</f>
        <v>190</v>
      </c>
      <c r="B282" s="224" t="s">
        <v>2303</v>
      </c>
      <c r="C282" s="219" t="s">
        <v>450</v>
      </c>
      <c r="D282" s="221">
        <f>P282-'EL-A'!D285</f>
        <v>9</v>
      </c>
      <c r="E282" s="218">
        <f>ROUND($I$1*I282,1)</f>
        <v>54.2</v>
      </c>
      <c r="F282" s="217">
        <f>PRODUCT(D282,E282)</f>
        <v>487.8</v>
      </c>
      <c r="G282" s="218">
        <f>ROUND($J$1*J282,1)</f>
        <v>82.7</v>
      </c>
      <c r="H282" s="217">
        <f>PRODUCT(D282,G282)</f>
        <v>744.30000000000007</v>
      </c>
      <c r="I282" s="216">
        <v>25.8</v>
      </c>
      <c r="J282" s="215">
        <v>15.6</v>
      </c>
      <c r="K282" s="215"/>
      <c r="P282" s="214">
        <v>18</v>
      </c>
    </row>
    <row r="283" spans="1:16">
      <c r="A283" s="205">
        <f>(SUM(A282,1))</f>
        <v>191</v>
      </c>
      <c r="B283" s="224" t="s">
        <v>2302</v>
      </c>
      <c r="C283" s="219" t="s">
        <v>450</v>
      </c>
      <c r="D283" s="221">
        <v>36</v>
      </c>
      <c r="E283" s="218">
        <f>ROUND($I$1*I283,1)</f>
        <v>94.5</v>
      </c>
      <c r="F283" s="217">
        <f>PRODUCT(D283,E283)</f>
        <v>3402</v>
      </c>
      <c r="G283" s="218">
        <f>ROUND($J$1*J283,1)</f>
        <v>57.2</v>
      </c>
      <c r="H283" s="217">
        <f>PRODUCT(D283,G283)</f>
        <v>2059.2000000000003</v>
      </c>
      <c r="I283" s="216">
        <v>45</v>
      </c>
      <c r="J283" s="215">
        <v>10.8</v>
      </c>
      <c r="K283" s="215"/>
      <c r="P283" s="214">
        <v>60</v>
      </c>
    </row>
    <row r="284" spans="1:16">
      <c r="A284" s="205">
        <f>(SUM(A283,1))</f>
        <v>192</v>
      </c>
      <c r="B284" s="224" t="s">
        <v>2301</v>
      </c>
      <c r="C284" s="219" t="s">
        <v>450</v>
      </c>
      <c r="D284" s="221">
        <f>P284-'EL-A'!D287</f>
        <v>120</v>
      </c>
      <c r="E284" s="218">
        <f>ROUND($I$1*I284,1)</f>
        <v>31.5</v>
      </c>
      <c r="F284" s="217">
        <f>PRODUCT(D284,E284)</f>
        <v>3780</v>
      </c>
      <c r="G284" s="218">
        <f>ROUND($J$1*J284,1)</f>
        <v>82.7</v>
      </c>
      <c r="H284" s="217">
        <f>PRODUCT(D284,G284)</f>
        <v>9924</v>
      </c>
      <c r="I284" s="216">
        <v>15</v>
      </c>
      <c r="J284" s="215">
        <v>15.6</v>
      </c>
      <c r="K284" s="215"/>
      <c r="P284" s="214">
        <v>300</v>
      </c>
    </row>
    <row r="285" spans="1:16">
      <c r="A285" s="205">
        <f>(SUM(A284,1))</f>
        <v>193</v>
      </c>
      <c r="B285" s="224" t="s">
        <v>2300</v>
      </c>
      <c r="C285" s="219" t="s">
        <v>450</v>
      </c>
      <c r="D285" s="221">
        <f>P285-'EL-A'!D288</f>
        <v>30</v>
      </c>
      <c r="E285" s="218">
        <f>ROUND($I$1*I285,1)</f>
        <v>56.7</v>
      </c>
      <c r="F285" s="217">
        <f>PRODUCT(D285,E285)</f>
        <v>1701</v>
      </c>
      <c r="G285" s="218">
        <f>ROUND($J$1*J285,1)</f>
        <v>82.7</v>
      </c>
      <c r="H285" s="217">
        <f>PRODUCT(D285,G285)</f>
        <v>2481</v>
      </c>
      <c r="I285" s="216">
        <v>27</v>
      </c>
      <c r="J285" s="215">
        <v>15.6</v>
      </c>
      <c r="K285" s="215"/>
      <c r="P285" s="214">
        <v>80</v>
      </c>
    </row>
    <row r="286" spans="1:16">
      <c r="A286" s="205">
        <f>(SUM(A285,1))</f>
        <v>194</v>
      </c>
      <c r="B286" s="224" t="s">
        <v>2299</v>
      </c>
      <c r="C286" s="219" t="s">
        <v>450</v>
      </c>
      <c r="D286" s="221">
        <f>P286-'EL-A'!D289</f>
        <v>70</v>
      </c>
      <c r="E286" s="218">
        <f>ROUND($I$1*I286,1)</f>
        <v>58.8</v>
      </c>
      <c r="F286" s="217">
        <f>PRODUCT(D286,E286)</f>
        <v>4116</v>
      </c>
      <c r="G286" s="218">
        <f>ROUND($J$1*J286,1)</f>
        <v>57.2</v>
      </c>
      <c r="H286" s="217">
        <f>PRODUCT(D286,G286)</f>
        <v>4004</v>
      </c>
      <c r="I286" s="216">
        <v>28</v>
      </c>
      <c r="J286" s="215">
        <v>10.8</v>
      </c>
      <c r="K286" s="215"/>
      <c r="P286" s="214">
        <v>150</v>
      </c>
    </row>
    <row r="287" spans="1:16">
      <c r="A287" s="205">
        <f>(SUM(A286,1))</f>
        <v>195</v>
      </c>
      <c r="B287" s="224" t="s">
        <v>2298</v>
      </c>
      <c r="C287" s="219" t="s">
        <v>450</v>
      </c>
      <c r="D287" s="221">
        <f>P287-'EL-A'!D290</f>
        <v>6</v>
      </c>
      <c r="E287" s="218">
        <f>ROUND($I$1*I287,1)</f>
        <v>21</v>
      </c>
      <c r="F287" s="217">
        <f>PRODUCT(D287,E287)</f>
        <v>126</v>
      </c>
      <c r="G287" s="218">
        <f>ROUND($J$1*J287,1)</f>
        <v>116.6</v>
      </c>
      <c r="H287" s="217">
        <f>PRODUCT(D287,G287)</f>
        <v>699.59999999999991</v>
      </c>
      <c r="I287" s="216">
        <v>10</v>
      </c>
      <c r="J287" s="215">
        <v>22</v>
      </c>
      <c r="K287" s="215"/>
      <c r="P287" s="214">
        <v>14</v>
      </c>
    </row>
    <row r="288" spans="1:16">
      <c r="A288" s="205">
        <f>(SUM(A287,1))</f>
        <v>196</v>
      </c>
      <c r="B288" s="224" t="s">
        <v>2297</v>
      </c>
      <c r="C288" s="219" t="s">
        <v>450</v>
      </c>
      <c r="D288" s="221">
        <f>P288-'EL-A'!D291</f>
        <v>2</v>
      </c>
      <c r="E288" s="218">
        <f>ROUND($I$1*I288,1)</f>
        <v>1365</v>
      </c>
      <c r="F288" s="217">
        <f>PRODUCT(D288,E288)</f>
        <v>2730</v>
      </c>
      <c r="G288" s="218">
        <f>ROUND($J$1*J288,1)</f>
        <v>265</v>
      </c>
      <c r="H288" s="217">
        <f>PRODUCT(D288,G288)</f>
        <v>530</v>
      </c>
      <c r="I288" s="216">
        <v>650</v>
      </c>
      <c r="J288" s="215">
        <v>50</v>
      </c>
      <c r="P288" s="214">
        <v>4</v>
      </c>
    </row>
    <row r="289" spans="1:16">
      <c r="A289" s="205">
        <f>(SUM(A288,1))</f>
        <v>197</v>
      </c>
      <c r="B289" s="224" t="s">
        <v>2296</v>
      </c>
      <c r="C289" s="219" t="s">
        <v>450</v>
      </c>
      <c r="D289" s="221">
        <f>P289-'EL-A'!D292</f>
        <v>4</v>
      </c>
      <c r="E289" s="218">
        <f>ROUND($I$1*I289,1)</f>
        <v>79.8</v>
      </c>
      <c r="F289" s="217">
        <f>PRODUCT(D289,E289)</f>
        <v>319.2</v>
      </c>
      <c r="G289" s="218">
        <f>ROUND($J$1*J289,1)</f>
        <v>57.2</v>
      </c>
      <c r="H289" s="217">
        <f>PRODUCT(D289,G289)</f>
        <v>228.8</v>
      </c>
      <c r="I289" s="216">
        <v>38</v>
      </c>
      <c r="J289" s="215">
        <v>10.8</v>
      </c>
      <c r="P289" s="214">
        <v>8</v>
      </c>
    </row>
    <row r="290" spans="1:16">
      <c r="A290" s="205">
        <f>(SUM(A289,1))</f>
        <v>198</v>
      </c>
      <c r="B290" s="220" t="s">
        <v>2295</v>
      </c>
      <c r="C290" s="219" t="s">
        <v>450</v>
      </c>
      <c r="D290" s="221">
        <f>P290-'EL-A'!D293</f>
        <v>5</v>
      </c>
      <c r="E290" s="218">
        <f>ROUND($I$1*I290,1)</f>
        <v>315</v>
      </c>
      <c r="F290" s="217">
        <f>PRODUCT(D290,E290)</f>
        <v>1575</v>
      </c>
      <c r="G290" s="218">
        <f>ROUND($J$1*J290,1)</f>
        <v>111.3</v>
      </c>
      <c r="H290" s="217">
        <f>PRODUCT(D290,G290)</f>
        <v>556.5</v>
      </c>
      <c r="I290" s="215">
        <v>150</v>
      </c>
      <c r="J290" s="215">
        <v>21</v>
      </c>
      <c r="K290" s="215"/>
      <c r="P290" s="214">
        <v>10</v>
      </c>
    </row>
    <row r="291" spans="1:16">
      <c r="A291" s="205">
        <f>(SUM(A290,1))</f>
        <v>199</v>
      </c>
      <c r="B291" s="224" t="s">
        <v>2294</v>
      </c>
      <c r="C291" s="219" t="s">
        <v>450</v>
      </c>
      <c r="D291" s="221">
        <f>P291-'EL-A'!D294</f>
        <v>12</v>
      </c>
      <c r="E291" s="218">
        <f>ROUND($I$1*I291,1)</f>
        <v>363.1</v>
      </c>
      <c r="F291" s="217">
        <f>PRODUCT(D291,E291)</f>
        <v>4357.2000000000007</v>
      </c>
      <c r="G291" s="218">
        <f>ROUND($J$1*J291,1)</f>
        <v>57.2</v>
      </c>
      <c r="H291" s="217">
        <f>PRODUCT(D291,G291)</f>
        <v>686.40000000000009</v>
      </c>
      <c r="I291" s="216">
        <v>172.9</v>
      </c>
      <c r="J291" s="215">
        <v>10.8</v>
      </c>
      <c r="K291" s="215"/>
      <c r="P291" s="214">
        <v>25</v>
      </c>
    </row>
    <row r="292" spans="1:16">
      <c r="A292" s="205">
        <f>(SUM(A291,1))</f>
        <v>200</v>
      </c>
      <c r="B292" s="224" t="s">
        <v>2293</v>
      </c>
      <c r="C292" s="219" t="s">
        <v>450</v>
      </c>
      <c r="D292" s="221">
        <f>P292-'EL-A'!D295</f>
        <v>24</v>
      </c>
      <c r="E292" s="218">
        <f>ROUND($I$1*I292,1)</f>
        <v>60.9</v>
      </c>
      <c r="F292" s="217">
        <f>PRODUCT(D292,E292)</f>
        <v>1461.6</v>
      </c>
      <c r="G292" s="218">
        <f>ROUND($J$1*J292,1)</f>
        <v>82.7</v>
      </c>
      <c r="H292" s="217">
        <f>PRODUCT(D292,G292)</f>
        <v>1984.8000000000002</v>
      </c>
      <c r="I292" s="216">
        <v>29</v>
      </c>
      <c r="J292" s="215">
        <v>15.6</v>
      </c>
      <c r="K292" s="215"/>
      <c r="P292" s="214">
        <v>50</v>
      </c>
    </row>
    <row r="293" spans="1:16">
      <c r="A293" s="205">
        <f>(SUM(A292,1))</f>
        <v>201</v>
      </c>
      <c r="B293" s="224" t="s">
        <v>2292</v>
      </c>
      <c r="C293" s="219" t="s">
        <v>450</v>
      </c>
      <c r="D293" s="221">
        <v>36</v>
      </c>
      <c r="E293" s="218">
        <f>ROUND($I$1*I293,1)</f>
        <v>77.099999999999994</v>
      </c>
      <c r="F293" s="217">
        <f>PRODUCT(D293,E293)</f>
        <v>2775.6</v>
      </c>
      <c r="G293" s="218">
        <f>ROUND($J$1*J293,1)</f>
        <v>78.400000000000006</v>
      </c>
      <c r="H293" s="217">
        <f>PRODUCT(D293,G293)</f>
        <v>2822.4</v>
      </c>
      <c r="I293" s="216">
        <v>36.700000000000003</v>
      </c>
      <c r="J293" s="215">
        <v>14.8</v>
      </c>
      <c r="K293" s="215"/>
      <c r="P293" s="214">
        <v>70</v>
      </c>
    </row>
    <row r="294" spans="1:16">
      <c r="A294" s="205">
        <f>(SUM(A293,1))</f>
        <v>202</v>
      </c>
      <c r="B294" s="224" t="s">
        <v>2291</v>
      </c>
      <c r="C294" s="219" t="s">
        <v>450</v>
      </c>
      <c r="D294" s="221">
        <f>P294-'EL-A'!D297</f>
        <v>20</v>
      </c>
      <c r="E294" s="218">
        <f>ROUND($I$1*I294,1)</f>
        <v>42.8</v>
      </c>
      <c r="F294" s="217">
        <f>PRODUCT(D294,E294)</f>
        <v>856</v>
      </c>
      <c r="G294" s="218">
        <f>ROUND($J$1*J294,1)</f>
        <v>78.400000000000006</v>
      </c>
      <c r="H294" s="217">
        <f>PRODUCT(D294,G294)</f>
        <v>1568</v>
      </c>
      <c r="I294" s="216">
        <v>20.399999999999999</v>
      </c>
      <c r="J294" s="215">
        <v>14.8</v>
      </c>
      <c r="K294" s="215"/>
      <c r="P294" s="214">
        <v>40</v>
      </c>
    </row>
    <row r="295" spans="1:16">
      <c r="A295" s="201">
        <f>(SUM(A294,1))</f>
        <v>203</v>
      </c>
      <c r="B295" s="198"/>
      <c r="C295" s="200"/>
      <c r="D295" s="200"/>
      <c r="E295" s="200"/>
      <c r="F295" s="199">
        <f>SUM(F274:F294)</f>
        <v>94361.200000000012</v>
      </c>
      <c r="G295" s="198"/>
      <c r="H295" s="199">
        <f>SUM(H274:H294)</f>
        <v>63265.30000000001</v>
      </c>
    </row>
    <row r="296" spans="1:16">
      <c r="A296" s="196">
        <f>(SUM(A295,1))</f>
        <v>204</v>
      </c>
      <c r="B296" s="195" t="s">
        <v>2176</v>
      </c>
      <c r="C296" s="192"/>
      <c r="D296" s="194">
        <v>3</v>
      </c>
      <c r="E296" s="192" t="s">
        <v>565</v>
      </c>
      <c r="F296" s="213">
        <f>ROUND(F295*D296*0.01,1)</f>
        <v>2830.8</v>
      </c>
      <c r="G296" s="192"/>
      <c r="H296" s="191"/>
    </row>
    <row r="297" spans="1:16">
      <c r="A297" s="196">
        <f>(SUM(A296,1))</f>
        <v>205</v>
      </c>
      <c r="B297" s="195" t="s">
        <v>2175</v>
      </c>
      <c r="C297" s="192"/>
      <c r="D297" s="194">
        <v>6</v>
      </c>
      <c r="E297" s="192" t="s">
        <v>565</v>
      </c>
      <c r="F297" s="193"/>
      <c r="G297" s="192"/>
      <c r="H297" s="213">
        <f>ROUND(H295*D297*0.01,1)</f>
        <v>3795.9</v>
      </c>
    </row>
    <row r="298" spans="1:16">
      <c r="A298" s="190">
        <f>(SUM(A297,1))</f>
        <v>206</v>
      </c>
      <c r="B298" s="189" t="s">
        <v>2168</v>
      </c>
      <c r="C298" s="188"/>
      <c r="D298" s="188"/>
      <c r="E298" s="188"/>
      <c r="F298" s="187">
        <f>SUM(F295:F297)</f>
        <v>97192.000000000015</v>
      </c>
      <c r="G298" s="212"/>
      <c r="H298" s="187">
        <f>SUM(H295:H297)</f>
        <v>67061.200000000012</v>
      </c>
    </row>
    <row r="299" spans="1:16">
      <c r="B299" s="229"/>
      <c r="C299" s="192"/>
      <c r="D299" s="192"/>
      <c r="E299" s="192"/>
      <c r="F299" s="228"/>
      <c r="G299" s="192"/>
      <c r="H299" s="228"/>
    </row>
    <row r="300" spans="1:16">
      <c r="B300" s="229"/>
      <c r="C300" s="192"/>
      <c r="D300" s="192"/>
      <c r="E300" s="192"/>
      <c r="F300" s="228"/>
      <c r="G300" s="192"/>
      <c r="H300" s="228"/>
    </row>
    <row r="301" spans="1:16">
      <c r="B301" s="229"/>
      <c r="C301" s="192"/>
      <c r="D301" s="192"/>
      <c r="E301" s="192"/>
      <c r="F301" s="228"/>
      <c r="G301" s="192"/>
      <c r="H301" s="228"/>
    </row>
    <row r="302" spans="1:16">
      <c r="A302" s="211"/>
      <c r="B302" s="227" t="s">
        <v>2290</v>
      </c>
      <c r="C302" s="210"/>
      <c r="D302" s="210"/>
      <c r="E302" s="299" t="s">
        <v>2173</v>
      </c>
      <c r="F302" s="299"/>
      <c r="G302" s="299" t="s">
        <v>2172</v>
      </c>
      <c r="H302" s="299"/>
    </row>
    <row r="303" spans="1:16">
      <c r="A303" s="209" t="s">
        <v>2171</v>
      </c>
      <c r="B303" s="226" t="s">
        <v>2170</v>
      </c>
      <c r="C303" s="207" t="s">
        <v>2185</v>
      </c>
      <c r="D303" s="206" t="s">
        <v>2184</v>
      </c>
      <c r="E303" s="207" t="s">
        <v>2183</v>
      </c>
      <c r="F303" s="206" t="s">
        <v>2169</v>
      </c>
      <c r="G303" s="207" t="s">
        <v>2183</v>
      </c>
      <c r="H303" s="206" t="s">
        <v>2169</v>
      </c>
    </row>
    <row r="304" spans="1:16">
      <c r="A304" s="205">
        <f>(SUM(A298,1))</f>
        <v>207</v>
      </c>
      <c r="B304" s="230" t="s">
        <v>2289</v>
      </c>
      <c r="C304" s="219" t="s">
        <v>450</v>
      </c>
      <c r="D304" s="221">
        <f>P304-'EL-A'!D307</f>
        <v>1</v>
      </c>
      <c r="E304" s="218">
        <f>ROUND($I$1*I304,1)</f>
        <v>31497.9</v>
      </c>
      <c r="F304" s="217">
        <f>PRODUCT(D304,E304)</f>
        <v>31497.9</v>
      </c>
      <c r="G304" s="218">
        <f>ROUND($J$1*J304,1)</f>
        <v>15900</v>
      </c>
      <c r="H304" s="217">
        <f>PRODUCT(D304,G304)</f>
        <v>15900</v>
      </c>
      <c r="I304" s="216">
        <v>14999</v>
      </c>
      <c r="J304" s="215">
        <v>3000</v>
      </c>
      <c r="P304" s="214">
        <v>2</v>
      </c>
    </row>
    <row r="305" spans="1:16">
      <c r="A305" s="205">
        <f>(SUM(A304,1))</f>
        <v>208</v>
      </c>
      <c r="B305" s="230" t="s">
        <v>2288</v>
      </c>
      <c r="C305" s="222" t="s">
        <v>450</v>
      </c>
      <c r="D305" s="221">
        <f>P305-'EL-A'!D308</f>
        <v>1</v>
      </c>
      <c r="E305" s="218">
        <f>ROUND($I$1*I305,1)</f>
        <v>6258</v>
      </c>
      <c r="F305" s="217">
        <f>PRODUCT(D305,E305)</f>
        <v>6258</v>
      </c>
      <c r="G305" s="218">
        <f>ROUND($J$1*J305,1)</f>
        <v>265</v>
      </c>
      <c r="H305" s="217">
        <f>PRODUCT(D305,G305)</f>
        <v>265</v>
      </c>
      <c r="I305" s="216">
        <v>2980</v>
      </c>
      <c r="J305" s="215">
        <v>50</v>
      </c>
      <c r="P305" s="221">
        <v>2</v>
      </c>
    </row>
    <row r="306" spans="1:16">
      <c r="A306" s="205">
        <f>(SUM(A305,1))</f>
        <v>209</v>
      </c>
      <c r="B306" s="223" t="s">
        <v>2287</v>
      </c>
      <c r="C306" s="222" t="s">
        <v>450</v>
      </c>
      <c r="D306" s="221">
        <f>P306-'EL-A'!D309</f>
        <v>1</v>
      </c>
      <c r="E306" s="218">
        <f>ROUND($I$1*I306,1)</f>
        <v>4410</v>
      </c>
      <c r="F306" s="217">
        <f>PRODUCT(D306,E306)</f>
        <v>4410</v>
      </c>
      <c r="G306" s="218">
        <f>ROUND($J$1*J306,1)</f>
        <v>0</v>
      </c>
      <c r="H306" s="217">
        <f>PRODUCT(D306,G306)</f>
        <v>0</v>
      </c>
      <c r="I306" s="216">
        <v>2100</v>
      </c>
      <c r="J306" s="215">
        <v>0</v>
      </c>
      <c r="P306" s="221">
        <v>2</v>
      </c>
    </row>
    <row r="307" spans="1:16" ht="16.5">
      <c r="A307" s="205">
        <f>(SUM(A306,1))</f>
        <v>210</v>
      </c>
      <c r="B307" s="231" t="s">
        <v>2286</v>
      </c>
      <c r="C307" s="222" t="s">
        <v>450</v>
      </c>
      <c r="D307" s="221">
        <f>P307-'EL-A'!D310</f>
        <v>8</v>
      </c>
      <c r="E307" s="218">
        <f>ROUND($I$1*I307,1)</f>
        <v>315</v>
      </c>
      <c r="F307" s="217">
        <f>PRODUCT(D307,E307)</f>
        <v>2520</v>
      </c>
      <c r="G307" s="218">
        <f>ROUND($J$1*J307,1)</f>
        <v>477</v>
      </c>
      <c r="H307" s="217">
        <f>PRODUCT(D307,G307)</f>
        <v>3816</v>
      </c>
      <c r="I307" s="216">
        <v>150</v>
      </c>
      <c r="J307" s="215">
        <v>90</v>
      </c>
      <c r="P307" s="221">
        <v>16</v>
      </c>
    </row>
    <row r="308" spans="1:16">
      <c r="A308" s="205">
        <f>(SUM(A307,1))</f>
        <v>211</v>
      </c>
      <c r="B308" s="230" t="s">
        <v>2285</v>
      </c>
      <c r="C308" s="222" t="s">
        <v>450</v>
      </c>
      <c r="D308" s="221">
        <f>P308-'EL-A'!D311</f>
        <v>1</v>
      </c>
      <c r="E308" s="218">
        <f>ROUND($I$1*I308,1)</f>
        <v>4410</v>
      </c>
      <c r="F308" s="217">
        <f>PRODUCT(D308,E308)</f>
        <v>4410</v>
      </c>
      <c r="G308" s="218">
        <f>ROUND($J$1*J308,1)</f>
        <v>0</v>
      </c>
      <c r="H308" s="217">
        <f>PRODUCT(D308,G308)</f>
        <v>0</v>
      </c>
      <c r="I308" s="216">
        <v>2100</v>
      </c>
      <c r="J308" s="215">
        <v>0</v>
      </c>
      <c r="P308" s="221">
        <v>2</v>
      </c>
    </row>
    <row r="309" spans="1:16">
      <c r="A309" s="205">
        <f>(SUM(A308,1))</f>
        <v>212</v>
      </c>
      <c r="B309" s="230" t="s">
        <v>2284</v>
      </c>
      <c r="C309" s="222" t="s">
        <v>450</v>
      </c>
      <c r="D309" s="221">
        <f>P309-'EL-A'!D312</f>
        <v>6</v>
      </c>
      <c r="E309" s="218">
        <f>ROUND($I$1*I309,1)</f>
        <v>4410</v>
      </c>
      <c r="F309" s="217">
        <f>PRODUCT(D309,E309)</f>
        <v>26460</v>
      </c>
      <c r="G309" s="218">
        <f>ROUND($J$1*J309,1)</f>
        <v>0</v>
      </c>
      <c r="H309" s="217">
        <f>PRODUCT(D309,G309)</f>
        <v>0</v>
      </c>
      <c r="I309" s="216">
        <v>2100</v>
      </c>
      <c r="J309" s="215">
        <v>0</v>
      </c>
      <c r="P309" s="221">
        <v>12</v>
      </c>
    </row>
    <row r="310" spans="1:16">
      <c r="A310" s="205">
        <f>(SUM(A309,1))</f>
        <v>213</v>
      </c>
      <c r="B310" s="230" t="s">
        <v>2283</v>
      </c>
      <c r="C310" s="222" t="s">
        <v>450</v>
      </c>
      <c r="D310" s="221">
        <f>P310-'EL-A'!D313</f>
        <v>6</v>
      </c>
      <c r="E310" s="218">
        <f>ROUND($I$1*I310,1)</f>
        <v>1365</v>
      </c>
      <c r="F310" s="217">
        <f>PRODUCT(D310,E310)</f>
        <v>8190</v>
      </c>
      <c r="G310" s="218">
        <f>ROUND($J$1*J310,1)</f>
        <v>0</v>
      </c>
      <c r="H310" s="217">
        <f>PRODUCT(D310,G310)</f>
        <v>0</v>
      </c>
      <c r="I310" s="216">
        <v>650</v>
      </c>
      <c r="J310" s="215">
        <v>0</v>
      </c>
      <c r="P310" s="221">
        <v>12</v>
      </c>
    </row>
    <row r="311" spans="1:16">
      <c r="A311" s="205">
        <f>(SUM(A310,1))</f>
        <v>214</v>
      </c>
      <c r="B311" s="230" t="s">
        <v>2282</v>
      </c>
      <c r="C311" s="222" t="s">
        <v>450</v>
      </c>
      <c r="D311" s="221">
        <f>P311-'EL-A'!D314</f>
        <v>1</v>
      </c>
      <c r="E311" s="218">
        <f>ROUND($I$1*I311,1)</f>
        <v>3444</v>
      </c>
      <c r="F311" s="217">
        <f>PRODUCT(D311,E311)</f>
        <v>3444</v>
      </c>
      <c r="G311" s="218">
        <f>ROUND($J$1*J311,1)</f>
        <v>0</v>
      </c>
      <c r="H311" s="217">
        <f>PRODUCT(D311,G311)</f>
        <v>0</v>
      </c>
      <c r="I311" s="216">
        <v>1640</v>
      </c>
      <c r="J311" s="215">
        <v>0</v>
      </c>
      <c r="P311" s="221">
        <v>2</v>
      </c>
    </row>
    <row r="312" spans="1:16">
      <c r="A312" s="205">
        <f>(SUM(A311,1))</f>
        <v>215</v>
      </c>
      <c r="B312" s="230" t="s">
        <v>2281</v>
      </c>
      <c r="C312" s="222" t="s">
        <v>450</v>
      </c>
      <c r="D312" s="221">
        <f>P312-'EL-A'!D315</f>
        <v>3</v>
      </c>
      <c r="E312" s="218">
        <f>ROUND($I$1*I312,1)</f>
        <v>1785</v>
      </c>
      <c r="F312" s="217">
        <f>PRODUCT(D312,E312)</f>
        <v>5355</v>
      </c>
      <c r="G312" s="218">
        <f>ROUND($J$1*J312,1)</f>
        <v>0</v>
      </c>
      <c r="H312" s="217">
        <f>PRODUCT(D312,G312)</f>
        <v>0</v>
      </c>
      <c r="I312" s="216">
        <v>850</v>
      </c>
      <c r="J312" s="215">
        <v>0</v>
      </c>
      <c r="P312" s="221">
        <v>6</v>
      </c>
    </row>
    <row r="313" spans="1:16">
      <c r="A313" s="205">
        <f>(SUM(A312,1))</f>
        <v>216</v>
      </c>
      <c r="B313" s="230" t="s">
        <v>2280</v>
      </c>
      <c r="C313" s="222" t="s">
        <v>450</v>
      </c>
      <c r="D313" s="221">
        <f>P313-'EL-A'!D316</f>
        <v>100</v>
      </c>
      <c r="E313" s="218">
        <f>ROUND($I$1*I313,1)</f>
        <v>60.9</v>
      </c>
      <c r="F313" s="217">
        <f>PRODUCT(D313,E313)</f>
        <v>6090</v>
      </c>
      <c r="G313" s="218">
        <f>ROUND($J$1*J313,1)</f>
        <v>0</v>
      </c>
      <c r="H313" s="217">
        <f>PRODUCT(D313,G313)</f>
        <v>0</v>
      </c>
      <c r="I313" s="216">
        <v>29</v>
      </c>
      <c r="J313" s="215">
        <v>0</v>
      </c>
      <c r="P313" s="221">
        <v>200</v>
      </c>
    </row>
    <row r="314" spans="1:16">
      <c r="A314" s="205">
        <f>(SUM(A313,1))</f>
        <v>217</v>
      </c>
      <c r="B314" s="230" t="s">
        <v>2279</v>
      </c>
      <c r="C314" s="222" t="s">
        <v>450</v>
      </c>
      <c r="D314" s="221">
        <f>P314-'EL-A'!D317</f>
        <v>50</v>
      </c>
      <c r="E314" s="218">
        <f>ROUND($I$1*I314,1)</f>
        <v>96.6</v>
      </c>
      <c r="F314" s="217">
        <f>PRODUCT(D314,E314)</f>
        <v>4830</v>
      </c>
      <c r="G314" s="218">
        <f>ROUND($J$1*J314,1)</f>
        <v>0</v>
      </c>
      <c r="H314" s="217">
        <f>PRODUCT(D314,G314)</f>
        <v>0</v>
      </c>
      <c r="I314" s="216">
        <v>46</v>
      </c>
      <c r="J314" s="215">
        <v>0</v>
      </c>
      <c r="P314" s="221">
        <v>100</v>
      </c>
    </row>
    <row r="315" spans="1:16">
      <c r="A315" s="205">
        <f>(SUM(A314,1))</f>
        <v>218</v>
      </c>
      <c r="B315" s="230" t="s">
        <v>2278</v>
      </c>
      <c r="C315" s="222" t="s">
        <v>450</v>
      </c>
      <c r="D315" s="221">
        <f>P315-'EL-A'!D318</f>
        <v>1</v>
      </c>
      <c r="E315" s="218">
        <f>ROUND($I$1*I315,1)</f>
        <v>15645</v>
      </c>
      <c r="F315" s="217">
        <f>PRODUCT(D315,E315)</f>
        <v>15645</v>
      </c>
      <c r="G315" s="218">
        <f>ROUND($J$1*J315,1)</f>
        <v>0</v>
      </c>
      <c r="H315" s="217">
        <f>PRODUCT(D315,G315)</f>
        <v>0</v>
      </c>
      <c r="I315" s="216">
        <v>7450</v>
      </c>
      <c r="J315" s="215">
        <v>0</v>
      </c>
      <c r="P315" s="221">
        <v>2</v>
      </c>
    </row>
    <row r="316" spans="1:16">
      <c r="A316" s="205">
        <f>(SUM(A315,1))</f>
        <v>219</v>
      </c>
      <c r="B316" s="230" t="s">
        <v>2277</v>
      </c>
      <c r="C316" s="222" t="s">
        <v>450</v>
      </c>
      <c r="D316" s="221">
        <f>P316-'EL-A'!D319</f>
        <v>6</v>
      </c>
      <c r="E316" s="218">
        <f>ROUND($I$1*I316,1)</f>
        <v>13650</v>
      </c>
      <c r="F316" s="217">
        <f>PRODUCT(D316,E316)</f>
        <v>81900</v>
      </c>
      <c r="G316" s="218">
        <f>ROUND($J$1*J316,1)</f>
        <v>0</v>
      </c>
      <c r="H316" s="217">
        <f>PRODUCT(D316,G316)</f>
        <v>0</v>
      </c>
      <c r="I316" s="216">
        <v>6500</v>
      </c>
      <c r="J316" s="215">
        <v>0</v>
      </c>
      <c r="P316" s="221">
        <v>12</v>
      </c>
    </row>
    <row r="317" spans="1:16">
      <c r="A317" s="205">
        <f>(SUM(A316,1))</f>
        <v>220</v>
      </c>
      <c r="B317" s="230" t="s">
        <v>2276</v>
      </c>
      <c r="C317" s="222" t="s">
        <v>450</v>
      </c>
      <c r="D317" s="221">
        <f>P317-'EL-A'!D320</f>
        <v>3</v>
      </c>
      <c r="E317" s="218">
        <f>ROUND($I$1*I317,1)</f>
        <v>2730</v>
      </c>
      <c r="F317" s="217">
        <f>PRODUCT(D317,E317)</f>
        <v>8190</v>
      </c>
      <c r="G317" s="218">
        <f>ROUND($J$1*J317,1)</f>
        <v>0</v>
      </c>
      <c r="H317" s="217">
        <f>PRODUCT(D317,G317)</f>
        <v>0</v>
      </c>
      <c r="I317" s="216">
        <v>1300</v>
      </c>
      <c r="J317" s="215">
        <v>0</v>
      </c>
      <c r="P317" s="221">
        <v>6</v>
      </c>
    </row>
    <row r="318" spans="1:16">
      <c r="A318" s="205">
        <f>(SUM(A317,1))</f>
        <v>221</v>
      </c>
      <c r="B318" s="230" t="s">
        <v>2275</v>
      </c>
      <c r="C318" s="222" t="s">
        <v>450</v>
      </c>
      <c r="D318" s="221">
        <f>P318-'EL-A'!D321</f>
        <v>1</v>
      </c>
      <c r="E318" s="218">
        <f>ROUND($I$1*I318,1)</f>
        <v>4200</v>
      </c>
      <c r="F318" s="217">
        <f>PRODUCT(D318,E318)</f>
        <v>4200</v>
      </c>
      <c r="G318" s="218">
        <f>ROUND($J$1*J318,1)</f>
        <v>0</v>
      </c>
      <c r="H318" s="217">
        <f>PRODUCT(D318,G318)</f>
        <v>0</v>
      </c>
      <c r="I318" s="216">
        <v>2000</v>
      </c>
      <c r="J318" s="215">
        <v>0</v>
      </c>
      <c r="P318" s="221">
        <v>2</v>
      </c>
    </row>
    <row r="319" spans="1:16">
      <c r="A319" s="205">
        <f>(SUM(A318,1))</f>
        <v>222</v>
      </c>
      <c r="B319" s="230" t="s">
        <v>2274</v>
      </c>
      <c r="C319" s="222" t="s">
        <v>450</v>
      </c>
      <c r="D319" s="221">
        <f>P319-'EL-A'!D322</f>
        <v>2</v>
      </c>
      <c r="E319" s="218">
        <f>ROUND($I$1*I319,1)</f>
        <v>6300</v>
      </c>
      <c r="F319" s="217">
        <f>PRODUCT(D319,E319)</f>
        <v>12600</v>
      </c>
      <c r="G319" s="218">
        <f>ROUND($J$1*J319,1)</f>
        <v>0</v>
      </c>
      <c r="H319" s="217">
        <f>PRODUCT(D319,G319)</f>
        <v>0</v>
      </c>
      <c r="I319" s="216">
        <v>3000</v>
      </c>
      <c r="J319" s="215">
        <v>0</v>
      </c>
      <c r="P319" s="221">
        <v>4</v>
      </c>
    </row>
    <row r="320" spans="1:16" ht="16.5">
      <c r="A320" s="205">
        <f>(SUM(A319,1))</f>
        <v>223</v>
      </c>
      <c r="B320" s="230" t="s">
        <v>2273</v>
      </c>
      <c r="C320" s="222" t="s">
        <v>450</v>
      </c>
      <c r="D320" s="221">
        <f>P320-'EL-A'!D323</f>
        <v>130</v>
      </c>
      <c r="E320" s="218">
        <f>ROUND($I$1*I320,1)</f>
        <v>0</v>
      </c>
      <c r="F320" s="217">
        <f>PRODUCT(D320,E320)</f>
        <v>0</v>
      </c>
      <c r="G320" s="218">
        <f>ROUND($J$1*J320,1)</f>
        <v>42.4</v>
      </c>
      <c r="H320" s="217">
        <f>PRODUCT(D320,G320)</f>
        <v>5512</v>
      </c>
      <c r="I320" s="216">
        <v>0</v>
      </c>
      <c r="J320" s="215">
        <v>8</v>
      </c>
      <c r="P320" s="221">
        <v>250</v>
      </c>
    </row>
    <row r="321" spans="1:16">
      <c r="A321" s="205">
        <f>(SUM(A320,1))</f>
        <v>224</v>
      </c>
      <c r="B321" s="220" t="s">
        <v>2456</v>
      </c>
      <c r="C321" s="219" t="s">
        <v>193</v>
      </c>
      <c r="D321" s="221">
        <v>140</v>
      </c>
      <c r="E321" s="218">
        <f>ROUND($I$1*I321,1)</f>
        <v>25.2</v>
      </c>
      <c r="F321" s="217">
        <f>PRODUCT(D321,E321)</f>
        <v>3528</v>
      </c>
      <c r="G321" s="218">
        <f>ROUND($J$1*J321,1)</f>
        <v>63.6</v>
      </c>
      <c r="H321" s="217">
        <f>PRODUCT(D321,G321)</f>
        <v>8904</v>
      </c>
      <c r="I321" s="216">
        <v>12</v>
      </c>
      <c r="J321" s="215">
        <v>12</v>
      </c>
      <c r="P321" s="214">
        <v>140</v>
      </c>
    </row>
    <row r="322" spans="1:16">
      <c r="A322" s="205">
        <f>(SUM(A321,1))</f>
        <v>225</v>
      </c>
      <c r="B322" s="230" t="s">
        <v>2226</v>
      </c>
      <c r="C322" s="222" t="s">
        <v>193</v>
      </c>
      <c r="D322" s="221">
        <v>6100</v>
      </c>
      <c r="E322" s="218">
        <f>ROUND($I$1*I322,1)</f>
        <v>23.1</v>
      </c>
      <c r="F322" s="217">
        <f>PRODUCT(D322,E322)</f>
        <v>140910</v>
      </c>
      <c r="G322" s="218">
        <f>ROUND($J$1*J322,1)</f>
        <v>14.8</v>
      </c>
      <c r="H322" s="217">
        <f>PRODUCT(D322,G322)</f>
        <v>90280</v>
      </c>
      <c r="I322" s="216">
        <v>11</v>
      </c>
      <c r="J322" s="215">
        <v>2.8</v>
      </c>
      <c r="P322" s="221">
        <v>10500</v>
      </c>
    </row>
    <row r="323" spans="1:16">
      <c r="A323" s="205">
        <f>(SUM(A322,1))</f>
        <v>226</v>
      </c>
      <c r="B323" s="223" t="s">
        <v>2272</v>
      </c>
      <c r="C323" s="222" t="s">
        <v>193</v>
      </c>
      <c r="D323" s="221">
        <f>P323-'EL-A'!D325</f>
        <v>25</v>
      </c>
      <c r="E323" s="218">
        <f>ROUND($I$1*I323,1)</f>
        <v>17.2</v>
      </c>
      <c r="F323" s="217">
        <f>PRODUCT(D323,E323)</f>
        <v>430</v>
      </c>
      <c r="G323" s="218">
        <f>ROUND($J$1*J323,1)</f>
        <v>27.6</v>
      </c>
      <c r="H323" s="217">
        <f>PRODUCT(D323,G323)</f>
        <v>690</v>
      </c>
      <c r="I323" s="216">
        <v>8.1999999999999993</v>
      </c>
      <c r="J323" s="215">
        <v>5.2</v>
      </c>
      <c r="P323" s="221">
        <v>50</v>
      </c>
    </row>
    <row r="324" spans="1:16">
      <c r="A324" s="205">
        <f>(SUM(A323,1))</f>
        <v>227</v>
      </c>
      <c r="B324" s="223" t="s">
        <v>2271</v>
      </c>
      <c r="C324" s="222" t="s">
        <v>193</v>
      </c>
      <c r="D324" s="221">
        <v>200</v>
      </c>
      <c r="E324" s="218">
        <f>ROUND($I$1*I324,1)</f>
        <v>17.2</v>
      </c>
      <c r="F324" s="217">
        <f>PRODUCT(D324,E324)</f>
        <v>3440</v>
      </c>
      <c r="G324" s="218">
        <f>ROUND($J$1*J324,1)</f>
        <v>27.6</v>
      </c>
      <c r="H324" s="217">
        <f>PRODUCT(D324,G324)</f>
        <v>5520</v>
      </c>
      <c r="I324" s="216">
        <v>8.1999999999999993</v>
      </c>
      <c r="J324" s="215">
        <v>5.2</v>
      </c>
      <c r="P324" s="221">
        <v>200</v>
      </c>
    </row>
    <row r="325" spans="1:16">
      <c r="A325" s="205">
        <f>(SUM(A324,1))</f>
        <v>228</v>
      </c>
      <c r="B325" s="223" t="s">
        <v>2270</v>
      </c>
      <c r="C325" s="222" t="s">
        <v>193</v>
      </c>
      <c r="D325" s="221">
        <f>P325-'EL-A'!D327</f>
        <v>25</v>
      </c>
      <c r="E325" s="218">
        <f>ROUND($I$1*I325,1)</f>
        <v>20.100000000000001</v>
      </c>
      <c r="F325" s="217">
        <f>PRODUCT(D325,E325)</f>
        <v>502.50000000000006</v>
      </c>
      <c r="G325" s="218">
        <f>ROUND($J$1*J325,1)</f>
        <v>38.200000000000003</v>
      </c>
      <c r="H325" s="217">
        <f>PRODUCT(D325,G325)</f>
        <v>955.00000000000011</v>
      </c>
      <c r="I325" s="216">
        <v>9.56</v>
      </c>
      <c r="J325" s="215">
        <v>7.2</v>
      </c>
      <c r="P325" s="221">
        <v>50</v>
      </c>
    </row>
    <row r="326" spans="1:16">
      <c r="A326" s="205">
        <f>(SUM(A325,1))</f>
        <v>229</v>
      </c>
      <c r="B326" s="223" t="s">
        <v>2269</v>
      </c>
      <c r="C326" s="222" t="s">
        <v>193</v>
      </c>
      <c r="D326" s="221">
        <f>P326-'EL-A'!D328</f>
        <v>100</v>
      </c>
      <c r="E326" s="218">
        <f>ROUND($I$1*I326,1)</f>
        <v>38.6</v>
      </c>
      <c r="F326" s="217">
        <f>PRODUCT(D326,E326)</f>
        <v>3860</v>
      </c>
      <c r="G326" s="218">
        <f>ROUND($J$1*J326,1)</f>
        <v>27.6</v>
      </c>
      <c r="H326" s="217">
        <f>PRODUCT(D326,G326)</f>
        <v>2760</v>
      </c>
      <c r="I326" s="216">
        <v>18.39</v>
      </c>
      <c r="J326" s="215">
        <v>5.2</v>
      </c>
      <c r="P326" s="221">
        <v>200</v>
      </c>
    </row>
    <row r="327" spans="1:16">
      <c r="A327" s="205">
        <f>(SUM(A326,1))</f>
        <v>230</v>
      </c>
      <c r="B327" s="223" t="s">
        <v>2268</v>
      </c>
      <c r="C327" s="222" t="s">
        <v>193</v>
      </c>
      <c r="D327" s="221">
        <f>P327-'EL-A'!D329</f>
        <v>60</v>
      </c>
      <c r="E327" s="218">
        <f>ROUND($I$1*I327,1)</f>
        <v>72.599999999999994</v>
      </c>
      <c r="F327" s="217">
        <f>PRODUCT(D327,E327)</f>
        <v>4356</v>
      </c>
      <c r="G327" s="218">
        <f>ROUND($J$1*J327,1)</f>
        <v>27.6</v>
      </c>
      <c r="H327" s="217">
        <f>PRODUCT(D327,G327)</f>
        <v>1656</v>
      </c>
      <c r="I327" s="215">
        <v>34.549999999999997</v>
      </c>
      <c r="J327" s="215">
        <v>5.2</v>
      </c>
      <c r="P327" s="221">
        <v>160</v>
      </c>
    </row>
    <row r="328" spans="1:16">
      <c r="A328" s="205">
        <f>(SUM(A327,1))</f>
        <v>231</v>
      </c>
      <c r="B328" s="230" t="s">
        <v>2267</v>
      </c>
      <c r="C328" s="222" t="s">
        <v>450</v>
      </c>
      <c r="D328" s="221">
        <f>P328-'EL-A'!D330</f>
        <v>2</v>
      </c>
      <c r="E328" s="218">
        <f>ROUND($I$1*I328,1)</f>
        <v>0</v>
      </c>
      <c r="F328" s="217">
        <f>PRODUCT(D328,E328)</f>
        <v>0</v>
      </c>
      <c r="G328" s="218">
        <f>ROUND($J$1*J328,1)</f>
        <v>106</v>
      </c>
      <c r="H328" s="217">
        <f>PRODUCT(D328,G328)</f>
        <v>212</v>
      </c>
      <c r="I328" s="216">
        <v>0</v>
      </c>
      <c r="J328" s="215">
        <f>10*2</f>
        <v>20</v>
      </c>
      <c r="P328" s="221">
        <v>4</v>
      </c>
    </row>
    <row r="329" spans="1:16">
      <c r="A329" s="205">
        <f>(SUM(A328,1))</f>
        <v>232</v>
      </c>
      <c r="B329" s="230" t="s">
        <v>2266</v>
      </c>
      <c r="C329" s="222" t="s">
        <v>450</v>
      </c>
      <c r="D329" s="221">
        <f>P329-'EL-A'!D331</f>
        <v>2</v>
      </c>
      <c r="E329" s="218">
        <f>ROUND($I$1*I329,1)</f>
        <v>0</v>
      </c>
      <c r="F329" s="217">
        <f>PRODUCT(D329,E329)</f>
        <v>0</v>
      </c>
      <c r="G329" s="218">
        <f>ROUND($J$1*J329,1)</f>
        <v>106</v>
      </c>
      <c r="H329" s="217">
        <f>PRODUCT(D329,G329)</f>
        <v>212</v>
      </c>
      <c r="I329" s="216">
        <v>0</v>
      </c>
      <c r="J329" s="215">
        <f>10*2</f>
        <v>20</v>
      </c>
      <c r="P329" s="221">
        <v>4</v>
      </c>
    </row>
    <row r="330" spans="1:16">
      <c r="A330" s="205">
        <f>(SUM(A329,1))</f>
        <v>233</v>
      </c>
      <c r="B330" s="230" t="s">
        <v>2265</v>
      </c>
      <c r="C330" s="222" t="s">
        <v>450</v>
      </c>
      <c r="D330" s="221">
        <f>P330-'EL-A'!D332</f>
        <v>30</v>
      </c>
      <c r="E330" s="218">
        <f>ROUND($I$1*I330,1)</f>
        <v>14.7</v>
      </c>
      <c r="F330" s="217">
        <f>PRODUCT(D330,E330)</f>
        <v>441</v>
      </c>
      <c r="G330" s="218">
        <f>ROUND($J$1*J330,1)</f>
        <v>42.4</v>
      </c>
      <c r="H330" s="217">
        <f>PRODUCT(D330,G330)</f>
        <v>1272</v>
      </c>
      <c r="I330" s="216">
        <v>7</v>
      </c>
      <c r="J330" s="215">
        <v>8</v>
      </c>
      <c r="P330" s="221">
        <v>60</v>
      </c>
    </row>
    <row r="331" spans="1:16" ht="24.75">
      <c r="A331" s="205">
        <f>(SUM(A330,1))</f>
        <v>234</v>
      </c>
      <c r="B331" s="240" t="s">
        <v>2264</v>
      </c>
      <c r="C331" s="222" t="s">
        <v>450</v>
      </c>
      <c r="D331" s="221">
        <f>P331-'EL-A'!D333</f>
        <v>9</v>
      </c>
      <c r="E331" s="218">
        <f>ROUND($I$1*I331,1)</f>
        <v>3150</v>
      </c>
      <c r="F331" s="217">
        <f>PRODUCT(D331,E331)</f>
        <v>28350</v>
      </c>
      <c r="G331" s="218">
        <f>ROUND($J$1*J331,1)</f>
        <v>238.5</v>
      </c>
      <c r="H331" s="217">
        <f>PRODUCT(D331,G331)</f>
        <v>2146.5</v>
      </c>
      <c r="I331" s="216">
        <v>1500</v>
      </c>
      <c r="J331" s="215">
        <v>45</v>
      </c>
      <c r="P331" s="221">
        <v>18</v>
      </c>
    </row>
    <row r="332" spans="1:16" ht="16.5">
      <c r="A332" s="205">
        <f>(SUM(A331,1))</f>
        <v>235</v>
      </c>
      <c r="B332" s="240" t="s">
        <v>2263</v>
      </c>
      <c r="C332" s="222" t="s">
        <v>450</v>
      </c>
      <c r="D332" s="221">
        <f>P332-'EL-A'!D334</f>
        <v>1</v>
      </c>
      <c r="E332" s="218">
        <f>ROUND($I$1*I332,1)</f>
        <v>12180</v>
      </c>
      <c r="F332" s="217">
        <f>PRODUCT(D332,E332)</f>
        <v>12180</v>
      </c>
      <c r="G332" s="218">
        <f>ROUND($J$1*J332,1)</f>
        <v>344.5</v>
      </c>
      <c r="H332" s="217">
        <f>PRODUCT(D332,G332)</f>
        <v>344.5</v>
      </c>
      <c r="I332" s="216">
        <v>5800</v>
      </c>
      <c r="J332" s="215">
        <v>65</v>
      </c>
      <c r="P332" s="221">
        <v>2</v>
      </c>
    </row>
    <row r="333" spans="1:16" ht="16.5">
      <c r="A333" s="205">
        <f>(SUM(A332,1))</f>
        <v>236</v>
      </c>
      <c r="B333" s="231" t="s">
        <v>2262</v>
      </c>
      <c r="C333" s="222" t="s">
        <v>450</v>
      </c>
      <c r="D333" s="221">
        <f>P333-'EL-A'!D335</f>
        <v>2</v>
      </c>
      <c r="E333" s="218">
        <f>ROUND($I$1*I333,1)</f>
        <v>33600</v>
      </c>
      <c r="F333" s="217">
        <f>PRODUCT(D333,E333)</f>
        <v>67200</v>
      </c>
      <c r="G333" s="218">
        <f>ROUND($J$1*J333,1)</f>
        <v>795</v>
      </c>
      <c r="H333" s="217">
        <f>PRODUCT(D333,G333)</f>
        <v>1590</v>
      </c>
      <c r="I333" s="216">
        <v>16000</v>
      </c>
      <c r="J333" s="215">
        <v>150</v>
      </c>
      <c r="P333" s="221">
        <v>4</v>
      </c>
    </row>
    <row r="334" spans="1:16">
      <c r="A334" s="205">
        <f>(SUM(A333,1))</f>
        <v>237</v>
      </c>
      <c r="B334" s="230" t="s">
        <v>2261</v>
      </c>
      <c r="C334" s="219" t="s">
        <v>450</v>
      </c>
      <c r="D334" s="221">
        <f>P334-'EL-A'!D336</f>
        <v>1</v>
      </c>
      <c r="E334" s="218">
        <f>ROUND($I$1*I334,1)</f>
        <v>1680</v>
      </c>
      <c r="F334" s="217">
        <f>PRODUCT(D334,E334)</f>
        <v>1680</v>
      </c>
      <c r="G334" s="218">
        <f>ROUND($J$1*J334,1)</f>
        <v>344.5</v>
      </c>
      <c r="H334" s="217">
        <f>PRODUCT(D334,G334)</f>
        <v>344.5</v>
      </c>
      <c r="I334" s="216">
        <v>800</v>
      </c>
      <c r="J334" s="215">
        <v>65</v>
      </c>
      <c r="P334" s="214">
        <v>2</v>
      </c>
    </row>
    <row r="335" spans="1:16" ht="41.25">
      <c r="A335" s="205">
        <f>(SUM(A334,1))</f>
        <v>238</v>
      </c>
      <c r="B335" s="240" t="s">
        <v>2260</v>
      </c>
      <c r="C335" s="222" t="s">
        <v>450</v>
      </c>
      <c r="D335" s="221">
        <f>P335-'EL-A'!D337</f>
        <v>2</v>
      </c>
      <c r="E335" s="218">
        <f>ROUND($I$1*I335,1)</f>
        <v>6552</v>
      </c>
      <c r="F335" s="217">
        <f>PRODUCT(D335,E335)</f>
        <v>13104</v>
      </c>
      <c r="G335" s="218">
        <f>ROUND($J$1*J335,1)</f>
        <v>344.5</v>
      </c>
      <c r="H335" s="217">
        <f>PRODUCT(D335,G335)</f>
        <v>689</v>
      </c>
      <c r="I335" s="216">
        <v>3120</v>
      </c>
      <c r="J335" s="215">
        <v>65</v>
      </c>
      <c r="P335" s="221">
        <v>4</v>
      </c>
    </row>
    <row r="336" spans="1:16" ht="33">
      <c r="A336" s="205">
        <f>(SUM(A335,1))</f>
        <v>239</v>
      </c>
      <c r="B336" s="240" t="s">
        <v>2259</v>
      </c>
      <c r="C336" s="222" t="s">
        <v>450</v>
      </c>
      <c r="D336" s="221">
        <f>P336-'EL-A'!D338</f>
        <v>6</v>
      </c>
      <c r="E336" s="218">
        <f>ROUND($I$1*I336,1)</f>
        <v>14364</v>
      </c>
      <c r="F336" s="217">
        <f>PRODUCT(D336,E336)</f>
        <v>86184</v>
      </c>
      <c r="G336" s="218">
        <f>ROUND($J$1*J336,1)</f>
        <v>344.5</v>
      </c>
      <c r="H336" s="217">
        <f>PRODUCT(D336,G336)</f>
        <v>2067</v>
      </c>
      <c r="I336" s="216">
        <v>6840</v>
      </c>
      <c r="J336" s="215">
        <v>65</v>
      </c>
      <c r="P336" s="221">
        <v>14</v>
      </c>
    </row>
    <row r="337" spans="1:16" ht="33">
      <c r="A337" s="205">
        <f>(SUM(A336,1))</f>
        <v>240</v>
      </c>
      <c r="B337" s="240" t="s">
        <v>2258</v>
      </c>
      <c r="C337" s="222" t="s">
        <v>450</v>
      </c>
      <c r="D337" s="221">
        <f>P337-'EL-A'!D339</f>
        <v>1</v>
      </c>
      <c r="E337" s="218">
        <f>ROUND($I$1*I337,1)</f>
        <v>42837.9</v>
      </c>
      <c r="F337" s="217">
        <f>PRODUCT(D337,E337)</f>
        <v>42837.9</v>
      </c>
      <c r="G337" s="218">
        <f>ROUND($J$1*J337,1)</f>
        <v>2120</v>
      </c>
      <c r="H337" s="217">
        <f>PRODUCT(D337,G337)</f>
        <v>2120</v>
      </c>
      <c r="I337" s="216">
        <v>20399</v>
      </c>
      <c r="J337" s="215">
        <v>400</v>
      </c>
      <c r="P337" s="221">
        <v>2</v>
      </c>
    </row>
    <row r="338" spans="1:16">
      <c r="A338" s="205">
        <f>(SUM(A337,1))</f>
        <v>241</v>
      </c>
      <c r="B338" s="220" t="s">
        <v>2257</v>
      </c>
      <c r="C338" s="219" t="s">
        <v>450</v>
      </c>
      <c r="D338" s="221">
        <f>P338-'EL-A'!D340</f>
        <v>4</v>
      </c>
      <c r="E338" s="218">
        <f>ROUND($I$1*I338,1)</f>
        <v>5250</v>
      </c>
      <c r="F338" s="217">
        <f>PRODUCT(D338,E338)</f>
        <v>21000</v>
      </c>
      <c r="G338" s="218">
        <f>ROUND($J$1*J338,1)</f>
        <v>0</v>
      </c>
      <c r="H338" s="217">
        <f>PRODUCT(D338,G338)</f>
        <v>0</v>
      </c>
      <c r="I338" s="216">
        <v>2500</v>
      </c>
      <c r="J338" s="215">
        <v>0</v>
      </c>
      <c r="P338" s="214">
        <v>8</v>
      </c>
    </row>
    <row r="339" spans="1:16">
      <c r="A339" s="205">
        <f>(SUM(A338,1))</f>
        <v>242</v>
      </c>
      <c r="B339" s="220" t="s">
        <v>2256</v>
      </c>
      <c r="C339" s="219" t="s">
        <v>450</v>
      </c>
      <c r="D339" s="221">
        <f>P339-'EL-A'!D341</f>
        <v>6</v>
      </c>
      <c r="E339" s="218">
        <f>ROUND($I$1*I339,1)</f>
        <v>945</v>
      </c>
      <c r="F339" s="217">
        <f>PRODUCT(D339,E339)</f>
        <v>5670</v>
      </c>
      <c r="G339" s="218">
        <f>ROUND($J$1*J339,1)</f>
        <v>238.5</v>
      </c>
      <c r="H339" s="217">
        <f>PRODUCT(D339,G339)</f>
        <v>1431</v>
      </c>
      <c r="I339" s="216">
        <v>450</v>
      </c>
      <c r="J339" s="215">
        <v>45</v>
      </c>
      <c r="P339" s="214">
        <v>14</v>
      </c>
    </row>
    <row r="340" spans="1:16" ht="16.5">
      <c r="A340" s="205">
        <f>(SUM(A339,1))</f>
        <v>243</v>
      </c>
      <c r="B340" s="230" t="s">
        <v>2255</v>
      </c>
      <c r="C340" s="219" t="s">
        <v>450</v>
      </c>
      <c r="D340" s="221">
        <f>P340-'EL-A'!D342</f>
        <v>1</v>
      </c>
      <c r="E340" s="218">
        <f>ROUND($I$1*I340,1)</f>
        <v>40908</v>
      </c>
      <c r="F340" s="217">
        <f>PRODUCT(D340,E340)</f>
        <v>40908</v>
      </c>
      <c r="G340" s="218">
        <f>ROUND($J$1*J340,1)</f>
        <v>7950</v>
      </c>
      <c r="H340" s="217">
        <f>PRODUCT(D340,G340)</f>
        <v>7950</v>
      </c>
      <c r="I340" s="216">
        <f>8810+6617+3653+400</f>
        <v>19480</v>
      </c>
      <c r="J340" s="215">
        <v>1500</v>
      </c>
      <c r="P340" s="214">
        <v>2</v>
      </c>
    </row>
    <row r="341" spans="1:16" ht="49.5">
      <c r="A341" s="205">
        <f>(SUM(A340,1))</f>
        <v>244</v>
      </c>
      <c r="B341" s="240" t="s">
        <v>2254</v>
      </c>
      <c r="C341" s="222" t="s">
        <v>450</v>
      </c>
      <c r="D341" s="221">
        <f>P341-'EL-A'!D343</f>
        <v>2</v>
      </c>
      <c r="E341" s="218">
        <f>ROUND($I$1*I341,1)</f>
        <v>10500</v>
      </c>
      <c r="F341" s="217">
        <f>PRODUCT(D341,E341)</f>
        <v>21000</v>
      </c>
      <c r="G341" s="218">
        <f>ROUND($J$1*J341,1)</f>
        <v>530</v>
      </c>
      <c r="H341" s="217">
        <f>PRODUCT(D341,G341)</f>
        <v>1060</v>
      </c>
      <c r="I341" s="216">
        <v>5000</v>
      </c>
      <c r="J341" s="215">
        <v>100</v>
      </c>
      <c r="P341" s="221">
        <v>4</v>
      </c>
    </row>
    <row r="342" spans="1:16" ht="16.5">
      <c r="A342" s="205">
        <f>(SUM(A341,1))</f>
        <v>245</v>
      </c>
      <c r="B342" s="240" t="s">
        <v>2253</v>
      </c>
      <c r="C342" s="222" t="s">
        <v>450</v>
      </c>
      <c r="D342" s="221">
        <f>P342-'EL-A'!D344</f>
        <v>9</v>
      </c>
      <c r="E342" s="218">
        <f>ROUND($I$1*I342,1)</f>
        <v>1470</v>
      </c>
      <c r="F342" s="217">
        <f>PRODUCT(D342,E342)</f>
        <v>13230</v>
      </c>
      <c r="G342" s="218">
        <f>ROUND($J$1*J342,1)</f>
        <v>53</v>
      </c>
      <c r="H342" s="217">
        <f>PRODUCT(D342,G342)</f>
        <v>477</v>
      </c>
      <c r="I342" s="216">
        <v>700</v>
      </c>
      <c r="J342" s="215">
        <v>10</v>
      </c>
      <c r="P342" s="221">
        <v>18</v>
      </c>
    </row>
    <row r="343" spans="1:16">
      <c r="A343" s="205">
        <f>(SUM(A342,1))</f>
        <v>246</v>
      </c>
      <c r="B343" s="230" t="s">
        <v>2252</v>
      </c>
      <c r="C343" s="222" t="s">
        <v>450</v>
      </c>
      <c r="D343" s="221">
        <v>67</v>
      </c>
      <c r="E343" s="218">
        <f>ROUND($I$1*I343,1)</f>
        <v>840</v>
      </c>
      <c r="F343" s="217">
        <f>PRODUCT(D343,E343)</f>
        <v>56280</v>
      </c>
      <c r="G343" s="218">
        <f>ROUND($J$1*J343,1)</f>
        <v>530</v>
      </c>
      <c r="H343" s="217">
        <f>PRODUCT(D343,G343)</f>
        <v>35510</v>
      </c>
      <c r="I343" s="216">
        <v>400</v>
      </c>
      <c r="J343" s="215">
        <v>100</v>
      </c>
      <c r="P343" s="221">
        <v>110</v>
      </c>
    </row>
    <row r="344" spans="1:16">
      <c r="A344" s="205">
        <f>(SUM(A343,1))</f>
        <v>247</v>
      </c>
      <c r="B344" s="223" t="s">
        <v>2251</v>
      </c>
      <c r="C344" s="222" t="s">
        <v>450</v>
      </c>
      <c r="D344" s="221">
        <f>P344-'EL-A'!D346</f>
        <v>1</v>
      </c>
      <c r="E344" s="218">
        <f>ROUND($I$1*I344,1)</f>
        <v>4620</v>
      </c>
      <c r="F344" s="217">
        <f>PRODUCT(D344,E344)</f>
        <v>4620</v>
      </c>
      <c r="G344" s="218">
        <f>ROUND($J$1*J344,1)</f>
        <v>848</v>
      </c>
      <c r="H344" s="217">
        <f>PRODUCT(D344,G344)</f>
        <v>848</v>
      </c>
      <c r="I344" s="216">
        <v>2200</v>
      </c>
      <c r="J344" s="215">
        <v>160</v>
      </c>
      <c r="P344" s="221">
        <v>2</v>
      </c>
    </row>
    <row r="345" spans="1:16">
      <c r="A345" s="205">
        <f>(SUM(A344,1))</f>
        <v>248</v>
      </c>
      <c r="B345" s="223" t="s">
        <v>2224</v>
      </c>
      <c r="C345" s="222" t="s">
        <v>193</v>
      </c>
      <c r="D345" s="221">
        <f>P345-'EL-A'!D347</f>
        <v>70</v>
      </c>
      <c r="E345" s="218">
        <f>ROUND($I$1*I345,1)</f>
        <v>516.6</v>
      </c>
      <c r="F345" s="217">
        <f>PRODUCT(D345,E345)</f>
        <v>36162</v>
      </c>
      <c r="G345" s="218">
        <f>ROUND($J$1*J345,1)</f>
        <v>177.6</v>
      </c>
      <c r="H345" s="217">
        <f>PRODUCT(D345,G345)</f>
        <v>12432</v>
      </c>
      <c r="I345" s="216">
        <f>164*1.5</f>
        <v>246</v>
      </c>
      <c r="J345" s="215">
        <v>33.5</v>
      </c>
      <c r="P345" s="221">
        <v>140</v>
      </c>
    </row>
    <row r="346" spans="1:16">
      <c r="A346" s="205">
        <f>(SUM(A345,1))</f>
        <v>249</v>
      </c>
      <c r="B346" s="223" t="s">
        <v>2216</v>
      </c>
      <c r="C346" s="222" t="s">
        <v>193</v>
      </c>
      <c r="D346" s="221">
        <f>P346-'EL-A'!D348</f>
        <v>50</v>
      </c>
      <c r="E346" s="218">
        <f>ROUND($I$1*I346,1)</f>
        <v>352.8</v>
      </c>
      <c r="F346" s="217">
        <f>PRODUCT(D346,E346)</f>
        <v>17640</v>
      </c>
      <c r="G346" s="218">
        <f>ROUND($J$1*J346,1)</f>
        <v>161.69999999999999</v>
      </c>
      <c r="H346" s="217">
        <f>PRODUCT(D346,G346)</f>
        <v>8084.9999999999991</v>
      </c>
      <c r="I346" s="216">
        <f>112*1.5</f>
        <v>168</v>
      </c>
      <c r="J346" s="215">
        <v>30.5</v>
      </c>
      <c r="P346" s="221">
        <v>100</v>
      </c>
    </row>
    <row r="347" spans="1:16">
      <c r="A347" s="205">
        <f>(SUM(A346,1))</f>
        <v>250</v>
      </c>
      <c r="B347" s="230" t="s">
        <v>2250</v>
      </c>
      <c r="C347" s="222" t="s">
        <v>450</v>
      </c>
      <c r="D347" s="221">
        <v>67</v>
      </c>
      <c r="E347" s="218">
        <f>ROUND($I$1*I347,1)</f>
        <v>17.2</v>
      </c>
      <c r="F347" s="217">
        <f>PRODUCT(D347,E347)</f>
        <v>1152.3999999999999</v>
      </c>
      <c r="G347" s="218">
        <f>ROUND($J$1*J347,1)</f>
        <v>24.6</v>
      </c>
      <c r="H347" s="217">
        <f>PRODUCT(D347,G347)</f>
        <v>1648.2</v>
      </c>
      <c r="I347" s="216">
        <v>8.1999999999999993</v>
      </c>
      <c r="J347" s="215">
        <v>4.6500000000000004</v>
      </c>
      <c r="P347" s="221">
        <v>110</v>
      </c>
    </row>
    <row r="348" spans="1:16">
      <c r="A348" s="205">
        <f>(SUM(A347,1))</f>
        <v>251</v>
      </c>
      <c r="B348" s="230" t="s">
        <v>2214</v>
      </c>
      <c r="C348" s="222" t="s">
        <v>450</v>
      </c>
      <c r="D348" s="221">
        <f>P348-'EL-A'!D350</f>
        <v>90</v>
      </c>
      <c r="E348" s="218">
        <f>ROUND($I$1*I348,1)</f>
        <v>16.2</v>
      </c>
      <c r="F348" s="217">
        <f>PRODUCT(D348,E348)</f>
        <v>1458</v>
      </c>
      <c r="G348" s="218">
        <f>ROUND($J$1*J348,1)</f>
        <v>51.4</v>
      </c>
      <c r="H348" s="217">
        <f>PRODUCT(D348,G348)</f>
        <v>4626</v>
      </c>
      <c r="I348" s="216">
        <v>7.7</v>
      </c>
      <c r="J348" s="215">
        <v>9.6999999999999993</v>
      </c>
      <c r="P348" s="221">
        <v>150</v>
      </c>
    </row>
    <row r="349" spans="1:16">
      <c r="A349" s="205">
        <f>(SUM(A348,1))</f>
        <v>252</v>
      </c>
      <c r="B349" s="230" t="s">
        <v>2213</v>
      </c>
      <c r="C349" s="222" t="s">
        <v>450</v>
      </c>
      <c r="D349" s="221">
        <f>P349-'EL-A'!D351</f>
        <v>60</v>
      </c>
      <c r="E349" s="218">
        <f>ROUND($I$1*I349,1)</f>
        <v>36.5</v>
      </c>
      <c r="F349" s="217">
        <f>PRODUCT(D349,E349)</f>
        <v>2190</v>
      </c>
      <c r="G349" s="218">
        <f>ROUND($J$1*J349,1)</f>
        <v>54.6</v>
      </c>
      <c r="H349" s="217">
        <f>PRODUCT(D349,G349)</f>
        <v>3276</v>
      </c>
      <c r="I349" s="216">
        <v>17.399999999999999</v>
      </c>
      <c r="J349" s="215">
        <v>10.3</v>
      </c>
      <c r="P349" s="221">
        <v>100</v>
      </c>
    </row>
    <row r="350" spans="1:16">
      <c r="A350" s="205">
        <f>(SUM(A349,1))</f>
        <v>253</v>
      </c>
      <c r="B350" s="230" t="s">
        <v>2249</v>
      </c>
      <c r="C350" s="222" t="s">
        <v>450</v>
      </c>
      <c r="D350" s="221">
        <f>P350-'EL-A'!D352</f>
        <v>2</v>
      </c>
      <c r="E350" s="218">
        <f>ROUND($I$1*I350,1)</f>
        <v>219.9</v>
      </c>
      <c r="F350" s="217">
        <f>PRODUCT(D350,E350)</f>
        <v>439.8</v>
      </c>
      <c r="G350" s="218">
        <f>ROUND($J$1*J350,1)</f>
        <v>113.4</v>
      </c>
      <c r="H350" s="217">
        <f>PRODUCT(D350,G350)</f>
        <v>226.8</v>
      </c>
      <c r="I350" s="216">
        <v>104.7</v>
      </c>
      <c r="J350" s="215">
        <v>21.4</v>
      </c>
      <c r="P350" s="221">
        <v>4</v>
      </c>
    </row>
    <row r="351" spans="1:16">
      <c r="A351" s="205">
        <f>(SUM(A350,1))</f>
        <v>254</v>
      </c>
      <c r="B351" s="223" t="s">
        <v>2218</v>
      </c>
      <c r="C351" s="222" t="s">
        <v>193</v>
      </c>
      <c r="D351" s="221">
        <f>P351-'EL-A'!D353</f>
        <v>350</v>
      </c>
      <c r="E351" s="218">
        <f>ROUND($I$1*I351,1)</f>
        <v>15.8</v>
      </c>
      <c r="F351" s="217">
        <f>PRODUCT(D351,E351)</f>
        <v>5530</v>
      </c>
      <c r="G351" s="218">
        <f>ROUND($J$1*J351,1)</f>
        <v>22.3</v>
      </c>
      <c r="H351" s="217">
        <f>PRODUCT(D351,G351)</f>
        <v>7805</v>
      </c>
      <c r="I351" s="215">
        <v>7.5</v>
      </c>
      <c r="J351" s="215">
        <v>4.2</v>
      </c>
      <c r="P351" s="221">
        <v>600</v>
      </c>
    </row>
    <row r="352" spans="1:16">
      <c r="A352" s="205">
        <f>(SUM(A351,1))</f>
        <v>255</v>
      </c>
      <c r="B352" s="223" t="s">
        <v>2217</v>
      </c>
      <c r="C352" s="222" t="s">
        <v>193</v>
      </c>
      <c r="D352" s="221">
        <f>P352-'EL-A'!D354</f>
        <v>350</v>
      </c>
      <c r="E352" s="218">
        <f>ROUND($I$1*I352,1)</f>
        <v>17.899999999999999</v>
      </c>
      <c r="F352" s="217">
        <f>PRODUCT(D352,E352)</f>
        <v>6264.9999999999991</v>
      </c>
      <c r="G352" s="218">
        <f>ROUND($J$1*J352,1)</f>
        <v>22.3</v>
      </c>
      <c r="H352" s="217">
        <f>PRODUCT(D352,G352)</f>
        <v>7805</v>
      </c>
      <c r="I352" s="215">
        <v>8.5</v>
      </c>
      <c r="J352" s="215">
        <v>4.2</v>
      </c>
      <c r="P352" s="221">
        <v>600</v>
      </c>
    </row>
    <row r="353" spans="1:16">
      <c r="A353" s="205">
        <f>(SUM(A352,1))</f>
        <v>256</v>
      </c>
      <c r="B353" s="223" t="s">
        <v>2225</v>
      </c>
      <c r="C353" s="222" t="s">
        <v>193</v>
      </c>
      <c r="D353" s="221">
        <f>P353-'EL-A'!D355</f>
        <v>230</v>
      </c>
      <c r="E353" s="218">
        <f>ROUND($I$1*I353,1)</f>
        <v>21</v>
      </c>
      <c r="F353" s="217">
        <f>PRODUCT(D353,E353)</f>
        <v>4830</v>
      </c>
      <c r="G353" s="218">
        <f>ROUND($J$1*J353,1)</f>
        <v>22.3</v>
      </c>
      <c r="H353" s="217">
        <f>PRODUCT(D353,G353)</f>
        <v>5129</v>
      </c>
      <c r="I353" s="215">
        <v>10</v>
      </c>
      <c r="J353" s="215">
        <v>4.2</v>
      </c>
      <c r="P353" s="221">
        <v>400</v>
      </c>
    </row>
    <row r="354" spans="1:16">
      <c r="A354" s="205">
        <f>(SUM(A353,1))</f>
        <v>257</v>
      </c>
      <c r="B354" s="223" t="s">
        <v>2248</v>
      </c>
      <c r="C354" s="222" t="s">
        <v>193</v>
      </c>
      <c r="D354" s="221">
        <f>P354-'EL-A'!D356</f>
        <v>180</v>
      </c>
      <c r="E354" s="218">
        <f>ROUND($I$1*I354,1)</f>
        <v>25.2</v>
      </c>
      <c r="F354" s="217">
        <f>PRODUCT(D354,E354)</f>
        <v>4536</v>
      </c>
      <c r="G354" s="218">
        <f>ROUND($J$1*J354,1)</f>
        <v>21.7</v>
      </c>
      <c r="H354" s="217">
        <f>PRODUCT(D354,G354)</f>
        <v>3906</v>
      </c>
      <c r="I354" s="215">
        <v>12</v>
      </c>
      <c r="J354" s="215">
        <v>4.0999999999999996</v>
      </c>
      <c r="P354" s="221">
        <v>300</v>
      </c>
    </row>
    <row r="355" spans="1:16">
      <c r="A355" s="205">
        <f>(SUM(A354,1))</f>
        <v>258</v>
      </c>
      <c r="B355" s="223" t="s">
        <v>2455</v>
      </c>
      <c r="C355" s="222" t="s">
        <v>193</v>
      </c>
      <c r="D355" s="221">
        <v>50</v>
      </c>
      <c r="E355" s="218">
        <f>ROUND(I355*$I$1,1)</f>
        <v>64.3</v>
      </c>
      <c r="F355" s="217">
        <f>PRODUCT(D355,E355)</f>
        <v>3215</v>
      </c>
      <c r="G355" s="218">
        <f>ROUND(J355*$J$1,1)</f>
        <v>21.7</v>
      </c>
      <c r="H355" s="217">
        <f>PRODUCT(D355,G355)</f>
        <v>1085</v>
      </c>
      <c r="I355" s="215">
        <v>30.61</v>
      </c>
      <c r="J355" s="215">
        <v>4.0999999999999996</v>
      </c>
      <c r="P355" s="221">
        <v>50</v>
      </c>
    </row>
    <row r="356" spans="1:16">
      <c r="A356" s="205">
        <f>(SUM(A355,1))</f>
        <v>259</v>
      </c>
      <c r="B356" s="223" t="s">
        <v>2247</v>
      </c>
      <c r="C356" s="222" t="s">
        <v>193</v>
      </c>
      <c r="D356" s="221">
        <f>P356-'EL-A'!D357</f>
        <v>55</v>
      </c>
      <c r="E356" s="218">
        <f>ROUND(I356*$I$1,1)</f>
        <v>8.4</v>
      </c>
      <c r="F356" s="217">
        <f>PRODUCT(D356,E356)</f>
        <v>462</v>
      </c>
      <c r="G356" s="218">
        <f>ROUND(J356*$J$1,1)</f>
        <v>21.7</v>
      </c>
      <c r="H356" s="217">
        <f>PRODUCT(D356,G356)</f>
        <v>1193.5</v>
      </c>
      <c r="I356" s="215">
        <v>4</v>
      </c>
      <c r="J356" s="215">
        <v>4.0999999999999996</v>
      </c>
      <c r="P356" s="221">
        <v>110</v>
      </c>
    </row>
    <row r="357" spans="1:16">
      <c r="A357" s="205">
        <f>(SUM(A356,1))</f>
        <v>260</v>
      </c>
      <c r="B357" s="223" t="s">
        <v>2246</v>
      </c>
      <c r="C357" s="222" t="s">
        <v>450</v>
      </c>
      <c r="D357" s="221">
        <f>P357-'EL-A'!D358</f>
        <v>1</v>
      </c>
      <c r="E357" s="218">
        <f>ROUND($I$1*I357,1)</f>
        <v>2100</v>
      </c>
      <c r="F357" s="217">
        <f>PRODUCT(D357,E357)</f>
        <v>2100</v>
      </c>
      <c r="G357" s="218">
        <f>ROUND($J$1*J357,1)</f>
        <v>185.5</v>
      </c>
      <c r="H357" s="217">
        <f>PRODUCT(D357,G357)</f>
        <v>185.5</v>
      </c>
      <c r="I357" s="216">
        <v>1000</v>
      </c>
      <c r="J357" s="215">
        <v>35</v>
      </c>
      <c r="P357" s="221">
        <v>2</v>
      </c>
    </row>
    <row r="358" spans="1:16">
      <c r="A358" s="205">
        <f>(SUM(A357,1))</f>
        <v>261</v>
      </c>
      <c r="B358" s="224" t="s">
        <v>2245</v>
      </c>
      <c r="C358" s="219" t="s">
        <v>1247</v>
      </c>
      <c r="D358" s="221">
        <f>P358-'EL-A'!D359</f>
        <v>40</v>
      </c>
      <c r="E358" s="218">
        <f>ROUND($I$1*I358,1)</f>
        <v>0</v>
      </c>
      <c r="F358" s="217">
        <f>PRODUCT(D358,E358)</f>
        <v>0</v>
      </c>
      <c r="G358" s="218">
        <f>ROUND($J$1*J358,1)</f>
        <v>600</v>
      </c>
      <c r="H358" s="217">
        <f>PRODUCT(D358,G358)</f>
        <v>24000</v>
      </c>
      <c r="I358" s="216">
        <v>0</v>
      </c>
      <c r="J358" s="215">
        <f>600/$J$1</f>
        <v>113.20754716981132</v>
      </c>
      <c r="P358" s="214">
        <v>80</v>
      </c>
    </row>
    <row r="359" spans="1:16">
      <c r="A359" s="205">
        <f>(SUM(A358,1))</f>
        <v>262</v>
      </c>
      <c r="B359" s="223" t="s">
        <v>2244</v>
      </c>
      <c r="C359" s="222" t="s">
        <v>964</v>
      </c>
      <c r="D359" s="221">
        <f>P359-'EL-A'!D360</f>
        <v>140</v>
      </c>
      <c r="E359" s="218">
        <f>ROUND($I$1*I359,1)</f>
        <v>23.9</v>
      </c>
      <c r="F359" s="217">
        <f>PRODUCT(D359,E359)</f>
        <v>3346</v>
      </c>
      <c r="G359" s="218">
        <f>ROUND($J$1*J359,1)</f>
        <v>0</v>
      </c>
      <c r="H359" s="217">
        <f>PRODUCT(D359,G359)</f>
        <v>0</v>
      </c>
      <c r="I359" s="215">
        <v>11.4</v>
      </c>
      <c r="J359" s="215">
        <v>0</v>
      </c>
      <c r="P359" s="221">
        <v>240</v>
      </c>
    </row>
    <row r="360" spans="1:16">
      <c r="A360" s="201">
        <f>(SUM(A359,1))</f>
        <v>263</v>
      </c>
      <c r="B360" s="198"/>
      <c r="C360" s="200"/>
      <c r="D360" s="200"/>
      <c r="E360" s="200"/>
      <c r="F360" s="199">
        <f>SUM(F304:F359)</f>
        <v>887037.50000000012</v>
      </c>
      <c r="G360" s="198"/>
      <c r="H360" s="199">
        <f>SUM(H304:H359)</f>
        <v>275934.5</v>
      </c>
    </row>
    <row r="361" spans="1:16">
      <c r="A361" s="196">
        <f>(SUM(A360,1))</f>
        <v>264</v>
      </c>
      <c r="B361" s="195" t="s">
        <v>2176</v>
      </c>
      <c r="C361" s="192"/>
      <c r="D361" s="194">
        <v>3</v>
      </c>
      <c r="E361" s="192" t="s">
        <v>565</v>
      </c>
      <c r="F361" s="213">
        <f>ROUND(F360*D361*0.01,1)</f>
        <v>26611.1</v>
      </c>
      <c r="G361" s="192"/>
      <c r="H361" s="191"/>
    </row>
    <row r="362" spans="1:16">
      <c r="A362" s="196">
        <f>(SUM(A361,1))</f>
        <v>265</v>
      </c>
      <c r="B362" s="195" t="s">
        <v>2243</v>
      </c>
      <c r="C362" s="192"/>
      <c r="D362" s="194">
        <v>6</v>
      </c>
      <c r="E362" s="192" t="s">
        <v>565</v>
      </c>
      <c r="F362" s="193"/>
      <c r="G362" s="192"/>
      <c r="H362" s="213">
        <f>ROUND(H360*D362*0.01,1)</f>
        <v>16556.099999999999</v>
      </c>
    </row>
    <row r="363" spans="1:16">
      <c r="A363" s="190">
        <f>(SUM(A362,1))</f>
        <v>266</v>
      </c>
      <c r="B363" s="189" t="s">
        <v>2168</v>
      </c>
      <c r="C363" s="188"/>
      <c r="D363" s="188"/>
      <c r="E363" s="188"/>
      <c r="F363" s="187">
        <f>SUM(F360:F362)</f>
        <v>913648.60000000009</v>
      </c>
      <c r="G363" s="212"/>
      <c r="H363" s="187">
        <f>SUM(H360:H362)</f>
        <v>292490.59999999998</v>
      </c>
    </row>
    <row r="364" spans="1:16">
      <c r="A364" s="178"/>
      <c r="B364" s="229"/>
      <c r="C364" s="192"/>
      <c r="D364" s="192"/>
      <c r="E364" s="192"/>
      <c r="F364" s="228"/>
      <c r="G364" s="192"/>
      <c r="H364" s="228"/>
    </row>
    <row r="365" spans="1:16">
      <c r="A365" s="178"/>
      <c r="B365" s="229"/>
      <c r="C365" s="192"/>
      <c r="D365" s="192"/>
      <c r="E365" s="192"/>
      <c r="F365" s="228"/>
      <c r="G365" s="192"/>
      <c r="H365" s="228"/>
    </row>
    <row r="366" spans="1:16">
      <c r="B366" s="229"/>
      <c r="C366" s="192"/>
      <c r="D366" s="192"/>
      <c r="E366" s="192"/>
      <c r="F366" s="228"/>
      <c r="G366" s="192"/>
      <c r="H366" s="228"/>
    </row>
    <row r="367" spans="1:16">
      <c r="B367" s="233" t="s">
        <v>2242</v>
      </c>
      <c r="C367" s="210"/>
      <c r="D367" s="210"/>
      <c r="E367" s="299" t="s">
        <v>2173</v>
      </c>
      <c r="F367" s="299"/>
      <c r="G367" s="299" t="s">
        <v>2172</v>
      </c>
      <c r="H367" s="299"/>
    </row>
    <row r="368" spans="1:16">
      <c r="A368" s="209" t="s">
        <v>2171</v>
      </c>
      <c r="B368" s="226" t="s">
        <v>2170</v>
      </c>
      <c r="C368" s="207" t="s">
        <v>2185</v>
      </c>
      <c r="D368" s="206" t="s">
        <v>2184</v>
      </c>
      <c r="E368" s="207" t="s">
        <v>2183</v>
      </c>
      <c r="F368" s="206" t="s">
        <v>2169</v>
      </c>
      <c r="G368" s="207" t="s">
        <v>2183</v>
      </c>
      <c r="H368" s="206" t="s">
        <v>2169</v>
      </c>
    </row>
    <row r="369" spans="1:16" ht="41.25">
      <c r="A369" s="205">
        <f>(SUM(A363,1))</f>
        <v>267</v>
      </c>
      <c r="B369" s="239" t="s">
        <v>2241</v>
      </c>
      <c r="C369" s="238" t="s">
        <v>450</v>
      </c>
      <c r="D369" s="221">
        <f>P369-'EL-A'!D370</f>
        <v>22</v>
      </c>
      <c r="E369" s="218">
        <f>ROUND($I$1*I369,1)</f>
        <v>5250</v>
      </c>
      <c r="F369" s="217">
        <f>PRODUCT(D369,E369)</f>
        <v>115500</v>
      </c>
      <c r="G369" s="218">
        <f>ROUND($J$1*J369,1)</f>
        <v>636</v>
      </c>
      <c r="H369" s="217">
        <f>PRODUCT(D369,G369)</f>
        <v>13992</v>
      </c>
      <c r="I369" s="216">
        <f>2500</f>
        <v>2500</v>
      </c>
      <c r="J369" s="215">
        <v>120</v>
      </c>
      <c r="P369" s="221">
        <v>39</v>
      </c>
    </row>
    <row r="370" spans="1:16" ht="66">
      <c r="A370" s="205">
        <f>(SUM(A369,1))</f>
        <v>268</v>
      </c>
      <c r="B370" s="239" t="s">
        <v>2240</v>
      </c>
      <c r="C370" s="219" t="s">
        <v>450</v>
      </c>
      <c r="D370" s="221">
        <f>P370-'EL-A'!D371</f>
        <v>1</v>
      </c>
      <c r="E370" s="218">
        <f>ROUND($I$1*I370,1)</f>
        <v>40950</v>
      </c>
      <c r="F370" s="217">
        <f>PRODUCT(D370,E370)</f>
        <v>40950</v>
      </c>
      <c r="G370" s="218">
        <f>ROUND($J$1*J370,1)</f>
        <v>26.5</v>
      </c>
      <c r="H370" s="217">
        <f>PRODUCT(D370,G370)</f>
        <v>26.5</v>
      </c>
      <c r="I370" s="216">
        <v>19500</v>
      </c>
      <c r="J370" s="215">
        <v>5</v>
      </c>
      <c r="P370" s="221">
        <v>2</v>
      </c>
    </row>
    <row r="371" spans="1:16" ht="33">
      <c r="A371" s="205">
        <f>(SUM(A370,1))</f>
        <v>269</v>
      </c>
      <c r="B371" s="239" t="s">
        <v>2239</v>
      </c>
      <c r="C371" s="222" t="s">
        <v>450</v>
      </c>
      <c r="D371" s="221">
        <f>P371-'EL-A'!D372</f>
        <v>12</v>
      </c>
      <c r="E371" s="218">
        <f>ROUND($I$1*I371,1)</f>
        <v>3570</v>
      </c>
      <c r="F371" s="217">
        <f>PRODUCT(D371,E371)</f>
        <v>42840</v>
      </c>
      <c r="G371" s="218">
        <f>ROUND($J$1*J371,1)</f>
        <v>848</v>
      </c>
      <c r="H371" s="217">
        <f>PRODUCT(D371,G371)</f>
        <v>10176</v>
      </c>
      <c r="I371" s="216">
        <v>1700</v>
      </c>
      <c r="J371" s="215">
        <v>160</v>
      </c>
      <c r="P371" s="221">
        <v>18</v>
      </c>
    </row>
    <row r="372" spans="1:16">
      <c r="A372" s="205">
        <f>(SUM(A371,1))</f>
        <v>270</v>
      </c>
      <c r="B372" s="230" t="s">
        <v>2238</v>
      </c>
      <c r="C372" s="222" t="s">
        <v>450</v>
      </c>
      <c r="D372" s="221">
        <f>P372-'EL-A'!D373</f>
        <v>12</v>
      </c>
      <c r="E372" s="218">
        <f>ROUND($I$1*I372,1)</f>
        <v>3150</v>
      </c>
      <c r="F372" s="217">
        <f>PRODUCT(D372,E372)</f>
        <v>37800</v>
      </c>
      <c r="G372" s="218">
        <f>ROUND($J$1*J372,1)</f>
        <v>26.5</v>
      </c>
      <c r="H372" s="217">
        <f>PRODUCT(D372,G372)</f>
        <v>318</v>
      </c>
      <c r="I372" s="216">
        <v>1500</v>
      </c>
      <c r="J372" s="215">
        <v>5</v>
      </c>
      <c r="P372" s="221">
        <v>18</v>
      </c>
    </row>
    <row r="373" spans="1:16">
      <c r="A373" s="205">
        <f>(SUM(A372,1))</f>
        <v>271</v>
      </c>
      <c r="B373" s="223" t="s">
        <v>2237</v>
      </c>
      <c r="C373" s="222" t="s">
        <v>450</v>
      </c>
      <c r="D373" s="221">
        <f>P373-'EL-A'!D374</f>
        <v>10</v>
      </c>
      <c r="E373" s="218">
        <f>ROUND($I$1*I373,1)</f>
        <v>630</v>
      </c>
      <c r="F373" s="217">
        <f>PRODUCT(D373,E373)</f>
        <v>6300</v>
      </c>
      <c r="G373" s="218">
        <f>ROUND($J$1*J373,1)</f>
        <v>106</v>
      </c>
      <c r="H373" s="217">
        <f>PRODUCT(D373,G373)</f>
        <v>1060</v>
      </c>
      <c r="I373" s="215">
        <v>300</v>
      </c>
      <c r="J373" s="215">
        <v>20</v>
      </c>
      <c r="P373" s="221">
        <v>18</v>
      </c>
    </row>
    <row r="374" spans="1:16">
      <c r="A374" s="205">
        <f>(SUM(A373,1))</f>
        <v>272</v>
      </c>
      <c r="B374" s="223" t="s">
        <v>2236</v>
      </c>
      <c r="C374" s="222" t="s">
        <v>450</v>
      </c>
      <c r="D374" s="221">
        <f>P374-'EL-A'!D375</f>
        <v>4</v>
      </c>
      <c r="E374" s="218">
        <f>ROUND($I$1*I374,1)</f>
        <v>798</v>
      </c>
      <c r="F374" s="217">
        <f>PRODUCT(D374,E374)</f>
        <v>3192</v>
      </c>
      <c r="G374" s="218">
        <f>ROUND($J$1*J374,1)</f>
        <v>106</v>
      </c>
      <c r="H374" s="217">
        <f>PRODUCT(D374,G374)</f>
        <v>424</v>
      </c>
      <c r="I374" s="215">
        <v>380</v>
      </c>
      <c r="J374" s="215">
        <v>20</v>
      </c>
      <c r="P374" s="221">
        <v>8</v>
      </c>
    </row>
    <row r="375" spans="1:16">
      <c r="A375" s="205">
        <f>(SUM(A374,1))</f>
        <v>273</v>
      </c>
      <c r="B375" s="223" t="s">
        <v>2235</v>
      </c>
      <c r="C375" s="222" t="s">
        <v>450</v>
      </c>
      <c r="D375" s="221">
        <f>P375-'EL-A'!D376</f>
        <v>4</v>
      </c>
      <c r="E375" s="218">
        <f>ROUND($I$1*I375,1)</f>
        <v>735</v>
      </c>
      <c r="F375" s="217">
        <f>PRODUCT(D375,E375)</f>
        <v>2940</v>
      </c>
      <c r="G375" s="218">
        <f>ROUND($J$1*J375,1)</f>
        <v>106</v>
      </c>
      <c r="H375" s="217">
        <f>PRODUCT(D375,G375)</f>
        <v>424</v>
      </c>
      <c r="I375" s="216">
        <v>350</v>
      </c>
      <c r="J375" s="215">
        <v>20</v>
      </c>
      <c r="P375" s="221">
        <v>7</v>
      </c>
    </row>
    <row r="376" spans="1:16">
      <c r="A376" s="205">
        <f>(SUM(A375,1))</f>
        <v>274</v>
      </c>
      <c r="B376" s="223" t="s">
        <v>2234</v>
      </c>
      <c r="C376" s="222" t="s">
        <v>450</v>
      </c>
      <c r="D376" s="221">
        <f>P376-'EL-A'!D377</f>
        <v>22</v>
      </c>
      <c r="E376" s="218">
        <f>ROUND($I$1*I376,1)</f>
        <v>819</v>
      </c>
      <c r="F376" s="217">
        <f>PRODUCT(D376,E376)</f>
        <v>18018</v>
      </c>
      <c r="G376" s="218">
        <f>ROUND($J$1*J376,1)</f>
        <v>106</v>
      </c>
      <c r="H376" s="217">
        <f>PRODUCT(D376,G376)</f>
        <v>2332</v>
      </c>
      <c r="I376" s="216">
        <v>390</v>
      </c>
      <c r="J376" s="215">
        <v>20</v>
      </c>
      <c r="P376" s="221">
        <v>39</v>
      </c>
    </row>
    <row r="377" spans="1:16">
      <c r="A377" s="205">
        <f>(SUM(A376,1))</f>
        <v>275</v>
      </c>
      <c r="B377" s="223" t="s">
        <v>2233</v>
      </c>
      <c r="C377" s="222" t="s">
        <v>450</v>
      </c>
      <c r="D377" s="221">
        <f>P377-'EL-A'!D378</f>
        <v>2</v>
      </c>
      <c r="E377" s="218">
        <f>ROUND($I$1*I377,1)</f>
        <v>3780</v>
      </c>
      <c r="F377" s="217">
        <f>PRODUCT(D377,E377)</f>
        <v>7560</v>
      </c>
      <c r="G377" s="218">
        <f>ROUND($J$1*J377,1)</f>
        <v>636</v>
      </c>
      <c r="H377" s="217">
        <f>PRODUCT(D377,G377)</f>
        <v>1272</v>
      </c>
      <c r="I377" s="216">
        <v>1800</v>
      </c>
      <c r="J377" s="215">
        <v>120</v>
      </c>
      <c r="P377" s="221">
        <v>4</v>
      </c>
    </row>
    <row r="378" spans="1:16">
      <c r="A378" s="205">
        <f>(SUM(A377,1))</f>
        <v>276</v>
      </c>
      <c r="B378" s="223" t="s">
        <v>2232</v>
      </c>
      <c r="C378" s="222" t="s">
        <v>450</v>
      </c>
      <c r="D378" s="221">
        <f>P378-'EL-A'!D379</f>
        <v>4</v>
      </c>
      <c r="E378" s="218">
        <f>ROUND($I$1*I378,1)</f>
        <v>8400</v>
      </c>
      <c r="F378" s="217">
        <f>PRODUCT(D378,E378)</f>
        <v>33600</v>
      </c>
      <c r="G378" s="218">
        <f>ROUND($J$1*J378,1)</f>
        <v>901</v>
      </c>
      <c r="H378" s="217">
        <f>PRODUCT(D378,G378)</f>
        <v>3604</v>
      </c>
      <c r="I378" s="216">
        <v>4000</v>
      </c>
      <c r="J378" s="215">
        <v>170</v>
      </c>
      <c r="P378" s="221">
        <v>8</v>
      </c>
    </row>
    <row r="379" spans="1:16">
      <c r="A379" s="205">
        <f>(SUM(A378,1))</f>
        <v>277</v>
      </c>
      <c r="B379" s="223" t="s">
        <v>2231</v>
      </c>
      <c r="C379" s="222" t="s">
        <v>450</v>
      </c>
      <c r="D379" s="221">
        <f>P379-'EL-A'!D380</f>
        <v>1</v>
      </c>
      <c r="E379" s="218">
        <f>ROUND($I$1*I379,1)</f>
        <v>588</v>
      </c>
      <c r="F379" s="217">
        <f>PRODUCT(D379,E379)</f>
        <v>588</v>
      </c>
      <c r="G379" s="218">
        <f>ROUND($J$1*J379,1)</f>
        <v>636</v>
      </c>
      <c r="H379" s="217">
        <f>PRODUCT(D379,G379)</f>
        <v>636</v>
      </c>
      <c r="I379" s="216">
        <v>280</v>
      </c>
      <c r="J379" s="215">
        <v>120</v>
      </c>
      <c r="P379" s="221">
        <v>2</v>
      </c>
    </row>
    <row r="380" spans="1:16">
      <c r="A380" s="205">
        <f>(SUM(A379,1))</f>
        <v>278</v>
      </c>
      <c r="B380" s="223" t="s">
        <v>2230</v>
      </c>
      <c r="C380" s="222" t="s">
        <v>450</v>
      </c>
      <c r="D380" s="221">
        <f>P380-'EL-A'!D381</f>
        <v>1</v>
      </c>
      <c r="E380" s="218">
        <f>ROUND($I$1*I380,1)</f>
        <v>861</v>
      </c>
      <c r="F380" s="217">
        <f>PRODUCT(D380,E380)</f>
        <v>861</v>
      </c>
      <c r="G380" s="218">
        <f>ROUND($J$1*J380,1)</f>
        <v>636</v>
      </c>
      <c r="H380" s="217">
        <f>PRODUCT(D380,G380)</f>
        <v>636</v>
      </c>
      <c r="I380" s="216">
        <v>410</v>
      </c>
      <c r="J380" s="215">
        <v>120</v>
      </c>
      <c r="P380" s="221">
        <v>2</v>
      </c>
    </row>
    <row r="381" spans="1:16">
      <c r="A381" s="205">
        <f>(SUM(A380,1))</f>
        <v>279</v>
      </c>
      <c r="B381" s="223" t="s">
        <v>2229</v>
      </c>
      <c r="C381" s="222" t="s">
        <v>450</v>
      </c>
      <c r="D381" s="221">
        <f>P381-'EL-A'!D382</f>
        <v>4</v>
      </c>
      <c r="E381" s="218">
        <f>ROUND($I$1*I381,1)</f>
        <v>5250</v>
      </c>
      <c r="F381" s="217">
        <f>PRODUCT(D381,E381)</f>
        <v>21000</v>
      </c>
      <c r="G381" s="218">
        <f>ROUND($J$1*J381,1)</f>
        <v>26.5</v>
      </c>
      <c r="H381" s="217">
        <f>PRODUCT(D381,G381)</f>
        <v>106</v>
      </c>
      <c r="I381" s="216">
        <v>2500</v>
      </c>
      <c r="J381" s="215">
        <v>5</v>
      </c>
      <c r="P381" s="221">
        <v>8</v>
      </c>
    </row>
    <row r="382" spans="1:16" ht="24.75">
      <c r="A382" s="205">
        <f>(SUM(A381,1))</f>
        <v>280</v>
      </c>
      <c r="B382" s="232" t="s">
        <v>2228</v>
      </c>
      <c r="C382" s="222" t="s">
        <v>2177</v>
      </c>
      <c r="D382" s="221">
        <f>P382-'EL-A'!D383</f>
        <v>1</v>
      </c>
      <c r="E382" s="218">
        <f>ROUND($I$1*I382,1)</f>
        <v>84000</v>
      </c>
      <c r="F382" s="217">
        <f>PRODUCT(D382,E382)</f>
        <v>84000</v>
      </c>
      <c r="G382" s="218">
        <f>ROUND($J$1*J382,1)</f>
        <v>15900</v>
      </c>
      <c r="H382" s="217">
        <f>PRODUCT(D382,G382)</f>
        <v>15900</v>
      </c>
      <c r="I382" s="216">
        <v>40000</v>
      </c>
      <c r="J382" s="215">
        <v>3000</v>
      </c>
      <c r="P382" s="221">
        <v>2</v>
      </c>
    </row>
    <row r="383" spans="1:16" ht="16.5">
      <c r="A383" s="205">
        <f>(SUM(A382,1))</f>
        <v>281</v>
      </c>
      <c r="B383" s="232" t="s">
        <v>2227</v>
      </c>
      <c r="C383" s="222" t="s">
        <v>2177</v>
      </c>
      <c r="D383" s="221">
        <f>P383-'EL-A'!D384</f>
        <v>1</v>
      </c>
      <c r="E383" s="218">
        <f>ROUND($I$1*I383,1)</f>
        <v>0</v>
      </c>
      <c r="F383" s="217">
        <f>PRODUCT(D383,E383)</f>
        <v>0</v>
      </c>
      <c r="G383" s="218">
        <f>ROUND($J$1*J383,1)</f>
        <v>37100</v>
      </c>
      <c r="H383" s="217">
        <f>PRODUCT(D383,G383)</f>
        <v>37100</v>
      </c>
      <c r="I383" s="216">
        <v>0</v>
      </c>
      <c r="J383" s="215">
        <v>7000</v>
      </c>
      <c r="P383" s="221">
        <v>2</v>
      </c>
    </row>
    <row r="384" spans="1:16">
      <c r="A384" s="205">
        <f>(SUM(A383,1))</f>
        <v>282</v>
      </c>
      <c r="B384" s="230" t="s">
        <v>2226</v>
      </c>
      <c r="C384" s="222" t="s">
        <v>193</v>
      </c>
      <c r="D384" s="221">
        <f>P384-'EL-A'!D385</f>
        <v>2400</v>
      </c>
      <c r="E384" s="218">
        <f>ROUND($I$1*I384,1)</f>
        <v>23.1</v>
      </c>
      <c r="F384" s="217">
        <f>PRODUCT(D384,E384)</f>
        <v>55440</v>
      </c>
      <c r="G384" s="218">
        <f>ROUND($J$1*J384,1)</f>
        <v>14.8</v>
      </c>
      <c r="H384" s="217">
        <f>PRODUCT(D384,G384)</f>
        <v>35520</v>
      </c>
      <c r="I384" s="216">
        <v>11</v>
      </c>
      <c r="J384" s="215">
        <v>2.8</v>
      </c>
      <c r="P384" s="221">
        <v>4400</v>
      </c>
    </row>
    <row r="385" spans="1:16">
      <c r="A385" s="205">
        <f>(SUM(A384,1))</f>
        <v>283</v>
      </c>
      <c r="B385" s="230" t="s">
        <v>2215</v>
      </c>
      <c r="C385" s="222" t="s">
        <v>450</v>
      </c>
      <c r="D385" s="221">
        <f>P385-'EL-A'!D386</f>
        <v>130</v>
      </c>
      <c r="E385" s="218">
        <f>ROUND($I$1*I385,1)</f>
        <v>17.2</v>
      </c>
      <c r="F385" s="217">
        <f>PRODUCT(D385,E385)</f>
        <v>2236</v>
      </c>
      <c r="G385" s="218">
        <f>ROUND($J$1*J385,1)</f>
        <v>24.6</v>
      </c>
      <c r="H385" s="217">
        <f>PRODUCT(D385,G385)</f>
        <v>3198</v>
      </c>
      <c r="I385" s="216">
        <v>8.1999999999999993</v>
      </c>
      <c r="J385" s="215">
        <v>4.6500000000000004</v>
      </c>
      <c r="P385" s="221">
        <v>220</v>
      </c>
    </row>
    <row r="386" spans="1:16">
      <c r="A386" s="205">
        <f>(SUM(A385,1))</f>
        <v>284</v>
      </c>
      <c r="B386" s="230" t="s">
        <v>2214</v>
      </c>
      <c r="C386" s="222" t="s">
        <v>450</v>
      </c>
      <c r="D386" s="221">
        <f>P386-'EL-A'!D387</f>
        <v>120</v>
      </c>
      <c r="E386" s="218">
        <f>ROUND($I$1*I386,1)</f>
        <v>16.2</v>
      </c>
      <c r="F386" s="217">
        <f>PRODUCT(D386,E386)</f>
        <v>1944</v>
      </c>
      <c r="G386" s="218">
        <f>ROUND($J$1*J386,1)</f>
        <v>26</v>
      </c>
      <c r="H386" s="217">
        <f>PRODUCT(D386,G386)</f>
        <v>3120</v>
      </c>
      <c r="I386" s="216">
        <v>7.7</v>
      </c>
      <c r="J386" s="215">
        <v>4.9000000000000004</v>
      </c>
      <c r="P386" s="221">
        <v>200</v>
      </c>
    </row>
    <row r="387" spans="1:16">
      <c r="A387" s="205">
        <f>(SUM(A386,1))</f>
        <v>285</v>
      </c>
      <c r="B387" s="230" t="s">
        <v>2213</v>
      </c>
      <c r="C387" s="222" t="s">
        <v>450</v>
      </c>
      <c r="D387" s="221">
        <f>P387-'EL-A'!D388</f>
        <v>60</v>
      </c>
      <c r="E387" s="218">
        <f>ROUND($I$1*I387,1)</f>
        <v>36.5</v>
      </c>
      <c r="F387" s="217">
        <f>PRODUCT(D387,E387)</f>
        <v>2190</v>
      </c>
      <c r="G387" s="218">
        <f>ROUND($J$1*J387,1)</f>
        <v>54.6</v>
      </c>
      <c r="H387" s="217">
        <f>PRODUCT(D387,G387)</f>
        <v>3276</v>
      </c>
      <c r="I387" s="216">
        <v>17.399999999999999</v>
      </c>
      <c r="J387" s="215">
        <v>10.3</v>
      </c>
      <c r="P387" s="221">
        <v>100</v>
      </c>
    </row>
    <row r="388" spans="1:16">
      <c r="A388" s="205">
        <f>(SUM(A387,1))</f>
        <v>286</v>
      </c>
      <c r="B388" s="223" t="s">
        <v>2218</v>
      </c>
      <c r="C388" s="222" t="s">
        <v>193</v>
      </c>
      <c r="D388" s="221">
        <f>P388-'EL-A'!D389</f>
        <v>600</v>
      </c>
      <c r="E388" s="218">
        <f>ROUND($I$1*I388,1)</f>
        <v>15.8</v>
      </c>
      <c r="F388" s="217">
        <f>PRODUCT(D388,E388)</f>
        <v>9480</v>
      </c>
      <c r="G388" s="218">
        <f>ROUND($J$1*J388,1)</f>
        <v>22.3</v>
      </c>
      <c r="H388" s="217">
        <f>PRODUCT(D388,G388)</f>
        <v>13380</v>
      </c>
      <c r="I388" s="215">
        <v>7.5</v>
      </c>
      <c r="J388" s="215">
        <v>4.2</v>
      </c>
      <c r="P388" s="221">
        <v>1000</v>
      </c>
    </row>
    <row r="389" spans="1:16">
      <c r="A389" s="205">
        <f>(SUM(A388,1))</f>
        <v>287</v>
      </c>
      <c r="B389" s="223" t="s">
        <v>2217</v>
      </c>
      <c r="C389" s="222" t="s">
        <v>193</v>
      </c>
      <c r="D389" s="221">
        <f>P389-'EL-A'!D390</f>
        <v>350</v>
      </c>
      <c r="E389" s="218">
        <f>ROUND($I$1*I389,1)</f>
        <v>17.899999999999999</v>
      </c>
      <c r="F389" s="217">
        <f>PRODUCT(D389,E389)</f>
        <v>6264.9999999999991</v>
      </c>
      <c r="G389" s="218">
        <f>ROUND($J$1*J389,1)</f>
        <v>22.3</v>
      </c>
      <c r="H389" s="217">
        <f>PRODUCT(D389,G389)</f>
        <v>7805</v>
      </c>
      <c r="I389" s="215">
        <v>8.5</v>
      </c>
      <c r="J389" s="215">
        <v>4.2</v>
      </c>
      <c r="P389" s="221">
        <v>600</v>
      </c>
    </row>
    <row r="390" spans="1:16">
      <c r="A390" s="205">
        <f>(SUM(A389,1))</f>
        <v>288</v>
      </c>
      <c r="B390" s="223" t="s">
        <v>2225</v>
      </c>
      <c r="C390" s="222" t="s">
        <v>193</v>
      </c>
      <c r="D390" s="221">
        <f>P390-'EL-A'!D391</f>
        <v>60</v>
      </c>
      <c r="E390" s="218">
        <f>ROUND($I$1*I390,1)</f>
        <v>21</v>
      </c>
      <c r="F390" s="217">
        <f>PRODUCT(D390,E390)</f>
        <v>1260</v>
      </c>
      <c r="G390" s="218">
        <f>ROUND($J$1*J390,1)</f>
        <v>22.3</v>
      </c>
      <c r="H390" s="217">
        <f>PRODUCT(D390,G390)</f>
        <v>1338</v>
      </c>
      <c r="I390" s="215">
        <v>10</v>
      </c>
      <c r="J390" s="215">
        <v>4.2</v>
      </c>
      <c r="P390" s="221">
        <v>100</v>
      </c>
    </row>
    <row r="391" spans="1:16">
      <c r="A391" s="205">
        <f>(SUM(A390,1))</f>
        <v>289</v>
      </c>
      <c r="B391" s="223" t="s">
        <v>2224</v>
      </c>
      <c r="C391" s="222" t="s">
        <v>193</v>
      </c>
      <c r="D391" s="221">
        <f>P391-'EL-A'!D392</f>
        <v>70</v>
      </c>
      <c r="E391" s="218">
        <f>ROUND($I$1*I391,1)</f>
        <v>516.6</v>
      </c>
      <c r="F391" s="217">
        <f>PRODUCT(D391,E391)</f>
        <v>36162</v>
      </c>
      <c r="G391" s="218">
        <f>ROUND($J$1*J391,1)</f>
        <v>177.6</v>
      </c>
      <c r="H391" s="217">
        <f>PRODUCT(D391,G391)</f>
        <v>12432</v>
      </c>
      <c r="I391" s="216">
        <f>164*1.5</f>
        <v>246</v>
      </c>
      <c r="J391" s="215">
        <v>33.5</v>
      </c>
      <c r="P391" s="221">
        <v>140</v>
      </c>
    </row>
    <row r="392" spans="1:16">
      <c r="A392" s="205">
        <f>(SUM(A391,1))</f>
        <v>290</v>
      </c>
      <c r="B392" s="223" t="s">
        <v>2216</v>
      </c>
      <c r="C392" s="222" t="s">
        <v>193</v>
      </c>
      <c r="D392" s="221">
        <f>P392-'EL-A'!D393</f>
        <v>50</v>
      </c>
      <c r="E392" s="218">
        <f>ROUND($I$1*I392,1)</f>
        <v>352.8</v>
      </c>
      <c r="F392" s="217">
        <f>PRODUCT(D392,E392)</f>
        <v>17640</v>
      </c>
      <c r="G392" s="218">
        <f>ROUND($J$1*J392,1)</f>
        <v>161.69999999999999</v>
      </c>
      <c r="H392" s="217">
        <f>PRODUCT(D392,G392)</f>
        <v>8084.9999999999991</v>
      </c>
      <c r="I392" s="216">
        <f>112*1.5</f>
        <v>168</v>
      </c>
      <c r="J392" s="215">
        <v>30.5</v>
      </c>
      <c r="P392" s="221">
        <v>100</v>
      </c>
    </row>
    <row r="393" spans="1:16">
      <c r="A393" s="205">
        <f>(SUM(A392,1))</f>
        <v>291</v>
      </c>
      <c r="B393" s="235" t="s">
        <v>2209</v>
      </c>
      <c r="C393" s="234" t="s">
        <v>964</v>
      </c>
      <c r="D393" s="221">
        <f>P393-'EL-A'!D394</f>
        <v>60</v>
      </c>
      <c r="E393" s="218">
        <f>ROUND($I$1*I393,1)</f>
        <v>22.1</v>
      </c>
      <c r="F393" s="217">
        <f>PRODUCT(D393,E393)</f>
        <v>1326</v>
      </c>
      <c r="G393" s="218">
        <f>ROUND($J$1*J393,1)</f>
        <v>0</v>
      </c>
      <c r="H393" s="217">
        <f>PRODUCT(D393,G393)</f>
        <v>0</v>
      </c>
      <c r="I393" s="216">
        <v>10.5</v>
      </c>
      <c r="J393" s="215">
        <v>0</v>
      </c>
      <c r="P393" s="221">
        <v>120</v>
      </c>
    </row>
    <row r="394" spans="1:16">
      <c r="A394" s="201">
        <f>(SUM(A393,1))</f>
        <v>292</v>
      </c>
      <c r="B394" s="198"/>
      <c r="C394" s="200"/>
      <c r="D394" s="200"/>
      <c r="E394" s="200"/>
      <c r="F394" s="199">
        <f>SUM(F369:F393)</f>
        <v>549092</v>
      </c>
      <c r="G394" s="198"/>
      <c r="H394" s="199">
        <f>SUM(H369:H393)</f>
        <v>176160.5</v>
      </c>
    </row>
    <row r="395" spans="1:16">
      <c r="A395" s="196">
        <f>(SUM(A394,1))</f>
        <v>293</v>
      </c>
      <c r="B395" s="195" t="s">
        <v>2176</v>
      </c>
      <c r="C395" s="192"/>
      <c r="D395" s="194">
        <v>3</v>
      </c>
      <c r="E395" s="192" t="s">
        <v>565</v>
      </c>
      <c r="F395" s="213">
        <f>ROUND(F394*D395*0.01,1)</f>
        <v>16472.8</v>
      </c>
      <c r="G395" s="192"/>
      <c r="H395" s="191"/>
    </row>
    <row r="396" spans="1:16">
      <c r="A396" s="196">
        <f>(SUM(A395,1))</f>
        <v>294</v>
      </c>
      <c r="B396" s="195" t="s">
        <v>2175</v>
      </c>
      <c r="C396" s="192"/>
      <c r="D396" s="194">
        <v>6</v>
      </c>
      <c r="E396" s="192" t="s">
        <v>565</v>
      </c>
      <c r="F396" s="193"/>
      <c r="G396" s="192"/>
      <c r="H396" s="213">
        <f>ROUND(H394*D396*0.01,1)</f>
        <v>10569.6</v>
      </c>
    </row>
    <row r="397" spans="1:16">
      <c r="A397" s="190">
        <f>(SUM(A396,1))</f>
        <v>295</v>
      </c>
      <c r="B397" s="189" t="s">
        <v>2168</v>
      </c>
      <c r="C397" s="188"/>
      <c r="D397" s="188"/>
      <c r="E397" s="188"/>
      <c r="F397" s="187">
        <f>SUM(F394:F396)</f>
        <v>565564.80000000005</v>
      </c>
      <c r="G397" s="212"/>
      <c r="H397" s="187">
        <f>SUM(H394:H396)</f>
        <v>186730.1</v>
      </c>
    </row>
    <row r="398" spans="1:16">
      <c r="A398" s="178"/>
      <c r="B398" s="229"/>
      <c r="C398" s="192"/>
      <c r="D398" s="192"/>
      <c r="E398" s="192"/>
      <c r="F398" s="228"/>
      <c r="G398" s="192"/>
      <c r="H398" s="228"/>
    </row>
    <row r="399" spans="1:16">
      <c r="A399" s="178"/>
      <c r="B399" s="229"/>
      <c r="C399" s="192"/>
      <c r="D399" s="192"/>
      <c r="E399" s="192"/>
      <c r="F399" s="228"/>
      <c r="G399" s="192"/>
      <c r="H399" s="228"/>
    </row>
    <row r="400" spans="1:16">
      <c r="A400" s="178"/>
      <c r="B400" s="229"/>
      <c r="C400" s="192"/>
      <c r="D400" s="192"/>
      <c r="E400" s="192"/>
      <c r="F400" s="228"/>
      <c r="G400" s="192"/>
      <c r="H400" s="228"/>
    </row>
    <row r="401" spans="1:16">
      <c r="B401" s="233" t="s">
        <v>2223</v>
      </c>
      <c r="C401" s="210"/>
      <c r="D401" s="210"/>
      <c r="E401" s="299" t="s">
        <v>2173</v>
      </c>
      <c r="F401" s="299"/>
      <c r="G401" s="299" t="s">
        <v>2172</v>
      </c>
      <c r="H401" s="299"/>
    </row>
    <row r="402" spans="1:16">
      <c r="A402" s="209" t="s">
        <v>2171</v>
      </c>
      <c r="B402" s="226" t="s">
        <v>2170</v>
      </c>
      <c r="C402" s="207" t="s">
        <v>2185</v>
      </c>
      <c r="D402" s="206" t="s">
        <v>2184</v>
      </c>
      <c r="E402" s="207" t="s">
        <v>2183</v>
      </c>
      <c r="F402" s="206" t="s">
        <v>2169</v>
      </c>
      <c r="G402" s="207" t="s">
        <v>2183</v>
      </c>
      <c r="H402" s="206" t="s">
        <v>2169</v>
      </c>
    </row>
    <row r="403" spans="1:16">
      <c r="A403" s="205">
        <f>(SUM(A397,1))</f>
        <v>296</v>
      </c>
      <c r="B403" s="230" t="s">
        <v>2222</v>
      </c>
      <c r="C403" s="238" t="s">
        <v>450</v>
      </c>
      <c r="D403" s="221">
        <f>P403-'EL-A'!D404</f>
        <v>1</v>
      </c>
      <c r="E403" s="218">
        <f>ROUND($I$1*I403,1)</f>
        <v>11550</v>
      </c>
      <c r="F403" s="217">
        <f>PRODUCT(D403,E403)</f>
        <v>11550</v>
      </c>
      <c r="G403" s="218">
        <f>ROUND($J$1*J403,1)</f>
        <v>2120</v>
      </c>
      <c r="H403" s="217">
        <f>PRODUCT(D403,G403)</f>
        <v>2120</v>
      </c>
      <c r="I403" s="216">
        <v>5500</v>
      </c>
      <c r="J403" s="215">
        <v>400</v>
      </c>
      <c r="P403" s="221">
        <v>2</v>
      </c>
    </row>
    <row r="404" spans="1:16">
      <c r="A404" s="205">
        <f>(SUM(A403,1))</f>
        <v>297</v>
      </c>
      <c r="B404" s="230" t="s">
        <v>2221</v>
      </c>
      <c r="C404" s="219" t="s">
        <v>450</v>
      </c>
      <c r="D404" s="221">
        <f>P404-'EL-A'!D405</f>
        <v>1</v>
      </c>
      <c r="E404" s="218">
        <f>ROUND($I$1*I404,1)</f>
        <v>2520</v>
      </c>
      <c r="F404" s="217">
        <f>PRODUCT(D404,E404)</f>
        <v>2520</v>
      </c>
      <c r="G404" s="218">
        <f>ROUND($J$1*J404,1)</f>
        <v>530</v>
      </c>
      <c r="H404" s="217">
        <f>PRODUCT(D404,G404)</f>
        <v>530</v>
      </c>
      <c r="I404" s="216">
        <v>1200</v>
      </c>
      <c r="J404" s="215">
        <v>100</v>
      </c>
      <c r="P404" s="221">
        <v>2</v>
      </c>
    </row>
    <row r="405" spans="1:16" ht="16.5">
      <c r="A405" s="205">
        <f>(SUM(A404,1))</f>
        <v>298</v>
      </c>
      <c r="B405" s="230" t="s">
        <v>2220</v>
      </c>
      <c r="C405" s="222" t="s">
        <v>450</v>
      </c>
      <c r="D405" s="221">
        <f>P405-'EL-A'!D406</f>
        <v>1</v>
      </c>
      <c r="E405" s="218">
        <f>ROUND($I$1*I405,1)</f>
        <v>12667.2</v>
      </c>
      <c r="F405" s="217">
        <f>PRODUCT(D405,E405)</f>
        <v>12667.2</v>
      </c>
      <c r="G405" s="218">
        <f>ROUND($J$1*J405,1)</f>
        <v>1325</v>
      </c>
      <c r="H405" s="217">
        <f>PRODUCT(D405,G405)</f>
        <v>1325</v>
      </c>
      <c r="I405" s="216">
        <v>6032</v>
      </c>
      <c r="J405" s="215">
        <v>250</v>
      </c>
      <c r="P405" s="221">
        <v>2</v>
      </c>
    </row>
    <row r="406" spans="1:16">
      <c r="A406" s="205">
        <f>(SUM(A405,1))</f>
        <v>299</v>
      </c>
      <c r="B406" s="230" t="s">
        <v>2219</v>
      </c>
      <c r="C406" s="222" t="s">
        <v>193</v>
      </c>
      <c r="D406" s="221">
        <f>P406-'EL-A'!D407</f>
        <v>850</v>
      </c>
      <c r="E406" s="218">
        <f>ROUND($I$1*I406,1)</f>
        <v>30.5</v>
      </c>
      <c r="F406" s="217">
        <f>PRODUCT(D406,E406)</f>
        <v>25925</v>
      </c>
      <c r="G406" s="218">
        <f>ROUND($J$1*J406,1)</f>
        <v>27.6</v>
      </c>
      <c r="H406" s="217">
        <f>PRODUCT(D406,G406)</f>
        <v>23460</v>
      </c>
      <c r="I406" s="216">
        <v>14.5</v>
      </c>
      <c r="J406" s="215">
        <v>5.2</v>
      </c>
      <c r="P406" s="221">
        <v>1500</v>
      </c>
    </row>
    <row r="407" spans="1:16">
      <c r="A407" s="205">
        <f>(SUM(A406,1))</f>
        <v>300</v>
      </c>
      <c r="B407" s="223" t="s">
        <v>2218</v>
      </c>
      <c r="C407" s="222" t="s">
        <v>193</v>
      </c>
      <c r="D407" s="221">
        <f>P407-'EL-A'!D408</f>
        <v>510</v>
      </c>
      <c r="E407" s="218">
        <f>ROUND($I$1*I407,1)</f>
        <v>15.8</v>
      </c>
      <c r="F407" s="217">
        <f>PRODUCT(D407,E407)</f>
        <v>8058</v>
      </c>
      <c r="G407" s="218">
        <f>ROUND($J$1*J407,1)</f>
        <v>22.3</v>
      </c>
      <c r="H407" s="217">
        <f>PRODUCT(D407,G407)</f>
        <v>11373</v>
      </c>
      <c r="I407" s="215">
        <v>7.5</v>
      </c>
      <c r="J407" s="215">
        <v>4.2</v>
      </c>
      <c r="P407" s="221">
        <v>900</v>
      </c>
    </row>
    <row r="408" spans="1:16">
      <c r="A408" s="205">
        <f>(SUM(A407,1))</f>
        <v>301</v>
      </c>
      <c r="B408" s="223" t="s">
        <v>2217</v>
      </c>
      <c r="C408" s="222" t="s">
        <v>193</v>
      </c>
      <c r="D408" s="221">
        <f>P408-'EL-A'!D409</f>
        <v>340</v>
      </c>
      <c r="E408" s="218">
        <f>ROUND($I$1*I408,1)</f>
        <v>17.899999999999999</v>
      </c>
      <c r="F408" s="217">
        <f>PRODUCT(D408,E408)</f>
        <v>6085.9999999999991</v>
      </c>
      <c r="G408" s="218">
        <f>ROUND($J$1*J408,1)</f>
        <v>22.3</v>
      </c>
      <c r="H408" s="217">
        <f>PRODUCT(D408,G408)</f>
        <v>7582</v>
      </c>
      <c r="I408" s="215">
        <v>8.5</v>
      </c>
      <c r="J408" s="215">
        <v>4.2</v>
      </c>
      <c r="P408" s="221">
        <v>600</v>
      </c>
    </row>
    <row r="409" spans="1:16">
      <c r="A409" s="205">
        <f>(SUM(A408,1))</f>
        <v>302</v>
      </c>
      <c r="B409" s="223" t="s">
        <v>2216</v>
      </c>
      <c r="C409" s="222" t="s">
        <v>193</v>
      </c>
      <c r="D409" s="221">
        <f>P409-'EL-A'!D410</f>
        <v>50</v>
      </c>
      <c r="E409" s="218">
        <f>ROUND($I$1*I409,1)</f>
        <v>352.8</v>
      </c>
      <c r="F409" s="217">
        <f>PRODUCT(D409,E409)</f>
        <v>17640</v>
      </c>
      <c r="G409" s="218">
        <f>ROUND($J$1*J409,1)</f>
        <v>161.69999999999999</v>
      </c>
      <c r="H409" s="217">
        <f>PRODUCT(D409,G409)</f>
        <v>8084.9999999999991</v>
      </c>
      <c r="I409" s="216">
        <f>112*1.5</f>
        <v>168</v>
      </c>
      <c r="J409" s="215">
        <v>30.5</v>
      </c>
      <c r="P409" s="221">
        <v>100</v>
      </c>
    </row>
    <row r="410" spans="1:16">
      <c r="A410" s="205">
        <f>(SUM(A409,1))</f>
        <v>303</v>
      </c>
      <c r="B410" s="230" t="s">
        <v>2215</v>
      </c>
      <c r="C410" s="222" t="s">
        <v>450</v>
      </c>
      <c r="D410" s="221">
        <f>P410-'EL-A'!D411</f>
        <v>17</v>
      </c>
      <c r="E410" s="218">
        <f>ROUND($I$1*I410,1)</f>
        <v>17.2</v>
      </c>
      <c r="F410" s="217">
        <f>PRODUCT(D410,E410)</f>
        <v>292.39999999999998</v>
      </c>
      <c r="G410" s="218">
        <f>ROUND($J$1*J410,1)</f>
        <v>24.6</v>
      </c>
      <c r="H410" s="217">
        <f>PRODUCT(D410,G410)</f>
        <v>418.20000000000005</v>
      </c>
      <c r="I410" s="216">
        <v>8.1999999999999993</v>
      </c>
      <c r="J410" s="215">
        <v>4.6500000000000004</v>
      </c>
      <c r="P410" s="221">
        <v>29</v>
      </c>
    </row>
    <row r="411" spans="1:16">
      <c r="A411" s="205">
        <f>(SUM(A410,1))</f>
        <v>304</v>
      </c>
      <c r="B411" s="230" t="s">
        <v>2214</v>
      </c>
      <c r="C411" s="222" t="s">
        <v>450</v>
      </c>
      <c r="D411" s="221">
        <f>P411-'EL-A'!D412</f>
        <v>28</v>
      </c>
      <c r="E411" s="218">
        <f>ROUND($I$1*I411,1)</f>
        <v>16.2</v>
      </c>
      <c r="F411" s="217">
        <f>PRODUCT(D411,E411)</f>
        <v>453.59999999999997</v>
      </c>
      <c r="G411" s="218">
        <f>ROUND($J$1*J411,1)</f>
        <v>26</v>
      </c>
      <c r="H411" s="217">
        <f>PRODUCT(D411,G411)</f>
        <v>728</v>
      </c>
      <c r="I411" s="216">
        <v>7.7</v>
      </c>
      <c r="J411" s="215">
        <v>4.9000000000000004</v>
      </c>
      <c r="P411" s="221">
        <v>50</v>
      </c>
    </row>
    <row r="412" spans="1:16">
      <c r="A412" s="205">
        <f>(SUM(A411,1))</f>
        <v>305</v>
      </c>
      <c r="B412" s="230" t="s">
        <v>2213</v>
      </c>
      <c r="C412" s="222" t="s">
        <v>450</v>
      </c>
      <c r="D412" s="221">
        <f>P412-'EL-A'!D413</f>
        <v>18</v>
      </c>
      <c r="E412" s="218">
        <f>ROUND($I$1*I412,1)</f>
        <v>36.5</v>
      </c>
      <c r="F412" s="217">
        <f>PRODUCT(D412,E412)</f>
        <v>657</v>
      </c>
      <c r="G412" s="218">
        <f>ROUND($J$1*J412,1)</f>
        <v>54.6</v>
      </c>
      <c r="H412" s="217">
        <f>PRODUCT(D412,G412)</f>
        <v>982.80000000000007</v>
      </c>
      <c r="I412" s="216">
        <v>17.399999999999999</v>
      </c>
      <c r="J412" s="215">
        <v>10.3</v>
      </c>
      <c r="P412" s="221">
        <v>30</v>
      </c>
    </row>
    <row r="413" spans="1:16">
      <c r="A413" s="205">
        <f>(SUM(A412,1))</f>
        <v>306</v>
      </c>
      <c r="B413" s="223" t="s">
        <v>2212</v>
      </c>
      <c r="C413" s="222" t="s">
        <v>193</v>
      </c>
      <c r="D413" s="221">
        <f>P413-'EL-A'!D414</f>
        <v>25</v>
      </c>
      <c r="E413" s="218">
        <f>ROUND($I$1*I413,1)</f>
        <v>210</v>
      </c>
      <c r="F413" s="217">
        <f>PRODUCT(D413,E413)</f>
        <v>5250</v>
      </c>
      <c r="G413" s="218">
        <f>ROUND($J$1*J413,1)</f>
        <v>49.3</v>
      </c>
      <c r="H413" s="217">
        <f>PRODUCT(D413,G413)</f>
        <v>1232.5</v>
      </c>
      <c r="I413" s="215">
        <v>100</v>
      </c>
      <c r="J413" s="215">
        <v>9.3000000000000007</v>
      </c>
      <c r="P413" s="221">
        <v>50</v>
      </c>
    </row>
    <row r="414" spans="1:16">
      <c r="A414" s="205">
        <f>(SUM(A413,1))</f>
        <v>307</v>
      </c>
      <c r="B414" s="223" t="s">
        <v>2211</v>
      </c>
      <c r="C414" s="222" t="s">
        <v>450</v>
      </c>
      <c r="D414" s="221">
        <f>P414-'EL-A'!D415</f>
        <v>17</v>
      </c>
      <c r="E414" s="218">
        <f>ROUND($I$1*I414,1)</f>
        <v>555.4</v>
      </c>
      <c r="F414" s="217">
        <f>PRODUCT(D414,E414)</f>
        <v>9441.7999999999993</v>
      </c>
      <c r="G414" s="218">
        <f>ROUND($J$1*J414,1)</f>
        <v>62.5</v>
      </c>
      <c r="H414" s="217">
        <f>PRODUCT(D414,G414)</f>
        <v>1062.5</v>
      </c>
      <c r="I414" s="216">
        <f>220.93+25.17+18.36</f>
        <v>264.46000000000004</v>
      </c>
      <c r="J414" s="215">
        <v>11.8</v>
      </c>
      <c r="P414" s="221">
        <v>29</v>
      </c>
    </row>
    <row r="415" spans="1:16">
      <c r="A415" s="205">
        <f>(SUM(A414,1))</f>
        <v>308</v>
      </c>
      <c r="B415" s="237" t="s">
        <v>2210</v>
      </c>
      <c r="C415" s="236" t="s">
        <v>450</v>
      </c>
      <c r="D415" s="221">
        <f>P415-'EL-A'!D416</f>
        <v>13</v>
      </c>
      <c r="E415" s="218">
        <f>ROUND($I$1*I415,1)</f>
        <v>3150</v>
      </c>
      <c r="F415" s="217">
        <f>PRODUCT(D415,E415)</f>
        <v>40950</v>
      </c>
      <c r="G415" s="218">
        <f>ROUND($J$1*J415,1)</f>
        <v>185.5</v>
      </c>
      <c r="H415" s="217">
        <f>PRODUCT(D415,G415)</f>
        <v>2411.5</v>
      </c>
      <c r="I415" s="216">
        <v>1500</v>
      </c>
      <c r="J415" s="215">
        <v>35</v>
      </c>
      <c r="P415" s="221">
        <v>26</v>
      </c>
    </row>
    <row r="416" spans="1:16">
      <c r="A416" s="205">
        <f>(SUM(A415,1))</f>
        <v>309</v>
      </c>
      <c r="B416" s="235" t="s">
        <v>2209</v>
      </c>
      <c r="C416" s="234" t="s">
        <v>964</v>
      </c>
      <c r="D416" s="221">
        <f>P416-'EL-A'!D417</f>
        <v>70</v>
      </c>
      <c r="E416" s="218">
        <f>ROUND($I$1*I416,1)</f>
        <v>22.1</v>
      </c>
      <c r="F416" s="217">
        <f>PRODUCT(D416,E416)</f>
        <v>1547</v>
      </c>
      <c r="G416" s="218">
        <f>ROUND($J$1*J416,1)</f>
        <v>0</v>
      </c>
      <c r="H416" s="217">
        <f>PRODUCT(D416,G416)</f>
        <v>0</v>
      </c>
      <c r="I416" s="216">
        <v>10.5</v>
      </c>
      <c r="J416" s="215">
        <v>0</v>
      </c>
      <c r="P416" s="221">
        <v>120</v>
      </c>
    </row>
    <row r="417" spans="1:16">
      <c r="A417" s="201">
        <f>(SUM(A416,1))</f>
        <v>310</v>
      </c>
      <c r="B417" s="198"/>
      <c r="C417" s="200"/>
      <c r="D417" s="200"/>
      <c r="E417" s="200"/>
      <c r="F417" s="199">
        <f>SUM(F403:F416)</f>
        <v>143038</v>
      </c>
      <c r="G417" s="198"/>
      <c r="H417" s="199">
        <f>SUM(H403:H416)</f>
        <v>61310.5</v>
      </c>
    </row>
    <row r="418" spans="1:16">
      <c r="A418" s="196">
        <f>(SUM(A417,1))</f>
        <v>311</v>
      </c>
      <c r="B418" s="195" t="s">
        <v>2176</v>
      </c>
      <c r="C418" s="192"/>
      <c r="D418" s="194">
        <v>3</v>
      </c>
      <c r="E418" s="192" t="s">
        <v>565</v>
      </c>
      <c r="F418" s="213">
        <f>ROUND(F417*D418*0.01,1)</f>
        <v>4291.1000000000004</v>
      </c>
      <c r="G418" s="192"/>
      <c r="H418" s="191"/>
    </row>
    <row r="419" spans="1:16">
      <c r="A419" s="196">
        <f>(SUM(A418,1))</f>
        <v>312</v>
      </c>
      <c r="B419" s="195" t="s">
        <v>2175</v>
      </c>
      <c r="C419" s="192"/>
      <c r="D419" s="194">
        <v>10</v>
      </c>
      <c r="E419" s="192" t="s">
        <v>565</v>
      </c>
      <c r="F419" s="193"/>
      <c r="G419" s="192"/>
      <c r="H419" s="213">
        <f>ROUND(H417*D419*0.01,1)</f>
        <v>6131.1</v>
      </c>
    </row>
    <row r="420" spans="1:16">
      <c r="A420" s="190">
        <f>(SUM(A419,1))</f>
        <v>313</v>
      </c>
      <c r="B420" s="189" t="s">
        <v>2168</v>
      </c>
      <c r="C420" s="188"/>
      <c r="D420" s="188"/>
      <c r="E420" s="188"/>
      <c r="F420" s="187">
        <f>SUM(F417:F419)</f>
        <v>147329.1</v>
      </c>
      <c r="G420" s="212"/>
      <c r="H420" s="187">
        <f>SUM(H417:H419)</f>
        <v>67441.600000000006</v>
      </c>
    </row>
    <row r="421" spans="1:16">
      <c r="A421" s="178"/>
      <c r="B421" s="229"/>
      <c r="C421" s="192"/>
      <c r="D421" s="192"/>
      <c r="E421" s="192"/>
      <c r="F421" s="228"/>
      <c r="G421" s="192"/>
      <c r="H421" s="228"/>
    </row>
    <row r="422" spans="1:16">
      <c r="A422" s="178"/>
      <c r="B422" s="229"/>
      <c r="C422" s="192"/>
      <c r="D422" s="192"/>
      <c r="E422" s="192"/>
      <c r="F422" s="228"/>
      <c r="G422" s="192"/>
      <c r="H422" s="228"/>
    </row>
    <row r="423" spans="1:16">
      <c r="B423" s="229"/>
      <c r="C423" s="192"/>
      <c r="D423" s="192"/>
      <c r="E423" s="192"/>
      <c r="F423" s="228"/>
      <c r="G423" s="192"/>
      <c r="H423" s="228"/>
    </row>
    <row r="424" spans="1:16">
      <c r="A424" s="211"/>
      <c r="B424" s="233" t="s">
        <v>2208</v>
      </c>
      <c r="C424" s="210"/>
      <c r="D424" s="210"/>
      <c r="E424" s="299" t="s">
        <v>2173</v>
      </c>
      <c r="F424" s="299"/>
      <c r="G424" s="299" t="s">
        <v>2172</v>
      </c>
      <c r="H424" s="299"/>
      <c r="I424" s="225"/>
      <c r="J424" s="225"/>
    </row>
    <row r="425" spans="1:16">
      <c r="A425" s="209" t="s">
        <v>2171</v>
      </c>
      <c r="B425" s="226" t="s">
        <v>2170</v>
      </c>
      <c r="C425" s="207" t="s">
        <v>2185</v>
      </c>
      <c r="D425" s="206" t="s">
        <v>2184</v>
      </c>
      <c r="E425" s="207" t="s">
        <v>2183</v>
      </c>
      <c r="F425" s="206" t="s">
        <v>2169</v>
      </c>
      <c r="G425" s="207" t="s">
        <v>2183</v>
      </c>
      <c r="H425" s="206" t="s">
        <v>2169</v>
      </c>
      <c r="I425" s="178" t="s">
        <v>2173</v>
      </c>
      <c r="J425" s="178" t="s">
        <v>2172</v>
      </c>
    </row>
    <row r="426" spans="1:16" ht="16.5">
      <c r="A426" s="205">
        <f>(SUM(A420,1))</f>
        <v>314</v>
      </c>
      <c r="B426" s="230" t="s">
        <v>2207</v>
      </c>
      <c r="C426" s="222" t="s">
        <v>450</v>
      </c>
      <c r="D426" s="221">
        <f>P426-'EL-A'!D427</f>
        <v>1</v>
      </c>
      <c r="E426" s="218">
        <f>ROUND($I$1*I426,1)</f>
        <v>14910</v>
      </c>
      <c r="F426" s="217">
        <f>PRODUCT(D426,E426)</f>
        <v>14910</v>
      </c>
      <c r="G426" s="218">
        <f>ROUND($J$1*J426,1)</f>
        <v>7500</v>
      </c>
      <c r="H426" s="217">
        <f>PRODUCT(D426,G426)</f>
        <v>7500</v>
      </c>
      <c r="I426" s="216">
        <v>7100</v>
      </c>
      <c r="J426" s="215">
        <f>7500/$J$1</f>
        <v>1415.0943396226417</v>
      </c>
      <c r="P426" s="221">
        <v>2</v>
      </c>
    </row>
    <row r="427" spans="1:16">
      <c r="A427" s="205">
        <f>(SUM(A426,1))</f>
        <v>315</v>
      </c>
      <c r="B427" s="230" t="s">
        <v>2206</v>
      </c>
      <c r="C427" s="222" t="s">
        <v>450</v>
      </c>
      <c r="D427" s="221">
        <f>P427-'EL-A'!D428</f>
        <v>1</v>
      </c>
      <c r="E427" s="218">
        <f>ROUND($I$1*I427,1)</f>
        <v>2730</v>
      </c>
      <c r="F427" s="217">
        <f>PRODUCT(D427,E427)</f>
        <v>2730</v>
      </c>
      <c r="G427" s="218">
        <f>ROUND($J$1*J427,1)</f>
        <v>0</v>
      </c>
      <c r="H427" s="217">
        <f>PRODUCT(D427,G427)</f>
        <v>0</v>
      </c>
      <c r="I427" s="216">
        <v>1300</v>
      </c>
      <c r="J427" s="215">
        <v>0</v>
      </c>
      <c r="P427" s="221">
        <v>2</v>
      </c>
    </row>
    <row r="428" spans="1:16">
      <c r="A428" s="205">
        <f>(SUM(A427,1))</f>
        <v>316</v>
      </c>
      <c r="B428" s="230" t="s">
        <v>2205</v>
      </c>
      <c r="C428" s="222" t="s">
        <v>450</v>
      </c>
      <c r="D428" s="221">
        <f>P428-'EL-A'!D429</f>
        <v>1</v>
      </c>
      <c r="E428" s="218">
        <f>ROUND($I$1*I428,1)</f>
        <v>12390</v>
      </c>
      <c r="F428" s="217">
        <f>PRODUCT(D428,E428)</f>
        <v>12390</v>
      </c>
      <c r="G428" s="218">
        <f>ROUND($J$1*J428,1)</f>
        <v>238.5</v>
      </c>
      <c r="H428" s="217">
        <f>PRODUCT(D428,G428)</f>
        <v>238.5</v>
      </c>
      <c r="I428" s="216">
        <v>5900</v>
      </c>
      <c r="J428" s="215">
        <v>45</v>
      </c>
      <c r="P428" s="221">
        <v>2</v>
      </c>
    </row>
    <row r="429" spans="1:16">
      <c r="A429" s="205">
        <f>(SUM(A428,1))</f>
        <v>317</v>
      </c>
      <c r="B429" s="232" t="s">
        <v>2204</v>
      </c>
      <c r="C429" s="222" t="s">
        <v>450</v>
      </c>
      <c r="D429" s="221">
        <f>P429-'EL-A'!D430</f>
        <v>2</v>
      </c>
      <c r="E429" s="218">
        <f>ROUND($I$1*I429,1)</f>
        <v>3129</v>
      </c>
      <c r="F429" s="217">
        <f>PRODUCT(D429,E429)</f>
        <v>6258</v>
      </c>
      <c r="G429" s="218">
        <f>ROUND($J$1*J429,1)</f>
        <v>424</v>
      </c>
      <c r="H429" s="217">
        <f>PRODUCT(D429,G429)</f>
        <v>848</v>
      </c>
      <c r="I429" s="216">
        <v>1490</v>
      </c>
      <c r="J429" s="215">
        <v>80</v>
      </c>
      <c r="P429" s="221">
        <v>4</v>
      </c>
    </row>
    <row r="430" spans="1:16">
      <c r="A430" s="205">
        <f>(SUM(A429,1))</f>
        <v>318</v>
      </c>
      <c r="B430" s="230" t="s">
        <v>2203</v>
      </c>
      <c r="C430" s="222" t="s">
        <v>450</v>
      </c>
      <c r="D430" s="221">
        <f>P430-'EL-A'!D431</f>
        <v>5</v>
      </c>
      <c r="E430" s="218">
        <f>ROUND($I$1*I430,1)</f>
        <v>546</v>
      </c>
      <c r="F430" s="217">
        <f>PRODUCT(D430,E430)</f>
        <v>2730</v>
      </c>
      <c r="G430" s="218">
        <f>ROUND($J$1*J430,1)</f>
        <v>265</v>
      </c>
      <c r="H430" s="217">
        <f>PRODUCT(D430,G430)</f>
        <v>1325</v>
      </c>
      <c r="I430" s="216">
        <v>260</v>
      </c>
      <c r="J430" s="215">
        <v>50</v>
      </c>
      <c r="P430" s="221">
        <v>10</v>
      </c>
    </row>
    <row r="431" spans="1:16">
      <c r="A431" s="205">
        <f>(SUM(A430,1))</f>
        <v>319</v>
      </c>
      <c r="B431" s="230" t="s">
        <v>2202</v>
      </c>
      <c r="C431" s="222" t="s">
        <v>450</v>
      </c>
      <c r="D431" s="221">
        <f>P431-'EL-A'!D432</f>
        <v>41</v>
      </c>
      <c r="E431" s="218">
        <f>ROUND($I$1*I431,1)</f>
        <v>1680</v>
      </c>
      <c r="F431" s="217">
        <f>PRODUCT(D431,E431)</f>
        <v>68880</v>
      </c>
      <c r="G431" s="218">
        <f>ROUND($J$1*J431,1)</f>
        <v>265</v>
      </c>
      <c r="H431" s="217">
        <f>PRODUCT(D431,G431)</f>
        <v>10865</v>
      </c>
      <c r="I431" s="216">
        <v>800</v>
      </c>
      <c r="J431" s="215">
        <v>50</v>
      </c>
      <c r="P431" s="221">
        <v>82</v>
      </c>
    </row>
    <row r="432" spans="1:16">
      <c r="A432" s="205">
        <f>(SUM(A431,1))</f>
        <v>320</v>
      </c>
      <c r="B432" s="223" t="s">
        <v>2201</v>
      </c>
      <c r="C432" s="222" t="s">
        <v>193</v>
      </c>
      <c r="D432" s="221">
        <f>P432-'EL-A'!D433</f>
        <v>200</v>
      </c>
      <c r="E432" s="218">
        <f>ROUND($I$1*I432,1)</f>
        <v>25.2</v>
      </c>
      <c r="F432" s="217">
        <f>PRODUCT(D432,E432)</f>
        <v>5040</v>
      </c>
      <c r="G432" s="218">
        <f>ROUND($J$1*J432,1)</f>
        <v>15.9</v>
      </c>
      <c r="H432" s="217">
        <f>PRODUCT(D432,G432)</f>
        <v>3180</v>
      </c>
      <c r="I432" s="216">
        <v>12</v>
      </c>
      <c r="J432" s="215">
        <v>3</v>
      </c>
      <c r="P432" s="221">
        <v>400</v>
      </c>
    </row>
    <row r="433" spans="1:16">
      <c r="A433" s="205">
        <f>(SUM(A432,1))</f>
        <v>321</v>
      </c>
      <c r="B433" s="223" t="s">
        <v>2200</v>
      </c>
      <c r="C433" s="222" t="s">
        <v>193</v>
      </c>
      <c r="D433" s="221">
        <f>P433-'EL-A'!D434</f>
        <v>25</v>
      </c>
      <c r="E433" s="218">
        <f>ROUND($I$1*I433,1)</f>
        <v>25.2</v>
      </c>
      <c r="F433" s="217">
        <f>PRODUCT(D433,E433)</f>
        <v>630</v>
      </c>
      <c r="G433" s="218">
        <f>ROUND($J$1*J433,1)</f>
        <v>15.9</v>
      </c>
      <c r="H433" s="217">
        <f>PRODUCT(D433,G433)</f>
        <v>397.5</v>
      </c>
      <c r="I433" s="216">
        <v>12</v>
      </c>
      <c r="J433" s="215">
        <v>3</v>
      </c>
      <c r="P433" s="221">
        <v>50</v>
      </c>
    </row>
    <row r="434" spans="1:16">
      <c r="A434" s="205">
        <f>(SUM(A433,1))</f>
        <v>322</v>
      </c>
      <c r="B434" s="223" t="s">
        <v>2199</v>
      </c>
      <c r="C434" s="222" t="s">
        <v>2177</v>
      </c>
      <c r="D434" s="221">
        <v>1</v>
      </c>
      <c r="E434" s="218">
        <f>ROUND($I$1*I434,1)</f>
        <v>4200</v>
      </c>
      <c r="F434" s="217">
        <f>PRODUCT(D434,E434)</f>
        <v>4200</v>
      </c>
      <c r="G434" s="218">
        <f>ROUND($J$1*J434,1)</f>
        <v>1060</v>
      </c>
      <c r="H434" s="217">
        <f>PRODUCT(D434,G434)</f>
        <v>1060</v>
      </c>
      <c r="I434" s="215">
        <v>2000</v>
      </c>
      <c r="J434" s="215">
        <v>200</v>
      </c>
      <c r="P434" s="221">
        <v>1</v>
      </c>
    </row>
    <row r="435" spans="1:16">
      <c r="A435" s="205">
        <f>(SUM(A434,1))</f>
        <v>323</v>
      </c>
      <c r="B435" s="230" t="s">
        <v>2198</v>
      </c>
      <c r="C435" s="222" t="s">
        <v>193</v>
      </c>
      <c r="D435" s="221">
        <f>P435-'EL-A'!D436</f>
        <v>200</v>
      </c>
      <c r="E435" s="218">
        <f>ROUND($I$1*I435,1)</f>
        <v>105</v>
      </c>
      <c r="F435" s="217">
        <f>PRODUCT(D435,E435)</f>
        <v>21000</v>
      </c>
      <c r="G435" s="218">
        <f>ROUND($J$1*J435,1)</f>
        <v>31.8</v>
      </c>
      <c r="H435" s="217">
        <f>PRODUCT(D435,G435)</f>
        <v>6360</v>
      </c>
      <c r="I435" s="216">
        <v>50</v>
      </c>
      <c r="J435" s="215">
        <v>6</v>
      </c>
      <c r="P435" s="221">
        <v>400</v>
      </c>
    </row>
    <row r="436" spans="1:16">
      <c r="A436" s="201">
        <f>(SUM(A435,1))</f>
        <v>324</v>
      </c>
      <c r="B436" s="198"/>
      <c r="C436" s="200"/>
      <c r="D436" s="200"/>
      <c r="E436" s="200"/>
      <c r="F436" s="199">
        <f>SUM(F426:F435)</f>
        <v>138768</v>
      </c>
      <c r="G436" s="198"/>
      <c r="H436" s="199">
        <f>SUM(H426:H435)</f>
        <v>31774</v>
      </c>
    </row>
    <row r="437" spans="1:16">
      <c r="A437" s="196">
        <f>(SUM(A436,1))</f>
        <v>325</v>
      </c>
      <c r="B437" s="195" t="s">
        <v>2176</v>
      </c>
      <c r="C437" s="192"/>
      <c r="D437" s="194">
        <v>3</v>
      </c>
      <c r="E437" s="192" t="s">
        <v>565</v>
      </c>
      <c r="F437" s="213">
        <f>ROUND(F436*D437*0.01,1)</f>
        <v>4163</v>
      </c>
      <c r="G437" s="192"/>
      <c r="H437" s="191"/>
    </row>
    <row r="438" spans="1:16">
      <c r="A438" s="196">
        <f>(SUM(A437,1))</f>
        <v>326</v>
      </c>
      <c r="B438" s="195" t="s">
        <v>2175</v>
      </c>
      <c r="C438" s="192"/>
      <c r="D438" s="194">
        <v>10</v>
      </c>
      <c r="E438" s="192" t="s">
        <v>565</v>
      </c>
      <c r="F438" s="193"/>
      <c r="G438" s="192"/>
      <c r="H438" s="213">
        <f>ROUND(H436*D438*0.01,1)</f>
        <v>3177.4</v>
      </c>
    </row>
    <row r="439" spans="1:16">
      <c r="A439" s="190">
        <f>(SUM(A438,1))</f>
        <v>327</v>
      </c>
      <c r="B439" s="189" t="s">
        <v>2168</v>
      </c>
      <c r="C439" s="188"/>
      <c r="D439" s="188"/>
      <c r="E439" s="188"/>
      <c r="F439" s="187">
        <f>SUM(F436:F438)</f>
        <v>142931</v>
      </c>
      <c r="G439" s="212"/>
      <c r="H439" s="187">
        <f>SUM(H436:H438)</f>
        <v>34951.4</v>
      </c>
    </row>
    <row r="440" spans="1:16">
      <c r="B440" s="229"/>
      <c r="C440" s="192"/>
      <c r="D440" s="192"/>
      <c r="E440" s="192"/>
      <c r="F440" s="228"/>
      <c r="G440" s="192"/>
      <c r="H440" s="228"/>
    </row>
    <row r="441" spans="1:16">
      <c r="B441" s="229"/>
      <c r="C441" s="192"/>
      <c r="D441" s="192"/>
      <c r="E441" s="192"/>
      <c r="F441" s="228"/>
      <c r="G441" s="192"/>
      <c r="H441" s="228"/>
    </row>
    <row r="442" spans="1:16">
      <c r="B442" s="229"/>
      <c r="C442" s="192"/>
      <c r="D442" s="192"/>
      <c r="E442" s="192"/>
      <c r="F442" s="228"/>
      <c r="G442" s="192"/>
      <c r="H442" s="228"/>
    </row>
    <row r="443" spans="1:16">
      <c r="A443" s="211"/>
      <c r="B443" s="227" t="s">
        <v>2197</v>
      </c>
      <c r="C443" s="210"/>
      <c r="D443" s="210"/>
      <c r="E443" s="299" t="s">
        <v>2173</v>
      </c>
      <c r="F443" s="299"/>
      <c r="G443" s="299" t="s">
        <v>2172</v>
      </c>
      <c r="H443" s="299"/>
      <c r="I443" s="225">
        <v>1.2</v>
      </c>
      <c r="J443" s="225"/>
    </row>
    <row r="444" spans="1:16">
      <c r="A444" s="209" t="s">
        <v>2171</v>
      </c>
      <c r="B444" s="226" t="s">
        <v>2170</v>
      </c>
      <c r="C444" s="207" t="s">
        <v>2185</v>
      </c>
      <c r="D444" s="206" t="s">
        <v>2184</v>
      </c>
      <c r="E444" s="207" t="s">
        <v>2183</v>
      </c>
      <c r="F444" s="206" t="s">
        <v>2169</v>
      </c>
      <c r="G444" s="207" t="s">
        <v>2183</v>
      </c>
      <c r="H444" s="206" t="s">
        <v>2169</v>
      </c>
      <c r="I444" s="178" t="s">
        <v>2173</v>
      </c>
      <c r="J444" s="178" t="s">
        <v>2172</v>
      </c>
    </row>
    <row r="445" spans="1:16">
      <c r="A445" s="205">
        <f>(SUM(A439,1))</f>
        <v>328</v>
      </c>
      <c r="B445" s="223" t="s">
        <v>2196</v>
      </c>
      <c r="C445" s="222" t="s">
        <v>450</v>
      </c>
      <c r="D445" s="300">
        <v>78</v>
      </c>
      <c r="E445" s="218">
        <f>ROUND($I$443*I445,1)</f>
        <v>8880</v>
      </c>
      <c r="F445" s="217">
        <f>PRODUCT(D445,E445)</f>
        <v>692640</v>
      </c>
      <c r="G445" s="218">
        <f>ROUND($J$1*J445,1)</f>
        <v>238.5</v>
      </c>
      <c r="H445" s="217">
        <f>PRODUCT(D445,G445)</f>
        <v>18603</v>
      </c>
      <c r="I445" s="215">
        <v>7400</v>
      </c>
      <c r="J445" s="215">
        <v>45</v>
      </c>
    </row>
    <row r="446" spans="1:16">
      <c r="A446" s="205">
        <f>(SUM(A445,1))</f>
        <v>329</v>
      </c>
      <c r="B446" s="223" t="s">
        <v>2195</v>
      </c>
      <c r="C446" s="222" t="s">
        <v>450</v>
      </c>
      <c r="D446" s="300">
        <v>78</v>
      </c>
      <c r="E446" s="218">
        <f>ROUND($I$443*I446,1)</f>
        <v>1602.6</v>
      </c>
      <c r="F446" s="217">
        <f>PRODUCT(D446,E446)</f>
        <v>125002.79999999999</v>
      </c>
      <c r="G446" s="218">
        <f>ROUND($J$1*J446,1)</f>
        <v>238.5</v>
      </c>
      <c r="H446" s="217">
        <f>PRODUCT(D446,G446)</f>
        <v>18603</v>
      </c>
      <c r="I446" s="215">
        <f>1616/1.21</f>
        <v>1335.5371900826447</v>
      </c>
      <c r="J446" s="215">
        <v>45</v>
      </c>
    </row>
    <row r="447" spans="1:16">
      <c r="A447" s="205">
        <f>(SUM(A446,1))</f>
        <v>330</v>
      </c>
      <c r="B447" s="223" t="s">
        <v>2194</v>
      </c>
      <c r="C447" s="222" t="s">
        <v>450</v>
      </c>
      <c r="D447" s="300">
        <v>78</v>
      </c>
      <c r="E447" s="218">
        <f>ROUND($I$443*I447,1)</f>
        <v>1800</v>
      </c>
      <c r="F447" s="217">
        <f>PRODUCT(D447,E447)</f>
        <v>140400</v>
      </c>
      <c r="G447" s="218">
        <f>ROUND($J$1*J447,1)</f>
        <v>265</v>
      </c>
      <c r="H447" s="217">
        <f>PRODUCT(D447,G447)</f>
        <v>20670</v>
      </c>
      <c r="I447" s="215">
        <v>1500</v>
      </c>
      <c r="J447" s="215">
        <v>50</v>
      </c>
    </row>
    <row r="448" spans="1:16" ht="16.5">
      <c r="A448" s="205">
        <f>(SUM(A447,1))</f>
        <v>331</v>
      </c>
      <c r="B448" s="231" t="s">
        <v>2193</v>
      </c>
      <c r="C448" s="222" t="s">
        <v>450</v>
      </c>
      <c r="D448" s="300">
        <v>2</v>
      </c>
      <c r="E448" s="218">
        <f>ROUND($I$443*I448,1)</f>
        <v>64214.9</v>
      </c>
      <c r="F448" s="217">
        <f>PRODUCT(D448,E448)</f>
        <v>128429.8</v>
      </c>
      <c r="G448" s="218">
        <f>ROUND($J$1*J448,1)</f>
        <v>662.5</v>
      </c>
      <c r="H448" s="217">
        <f>PRODUCT(D448,G448)</f>
        <v>1325</v>
      </c>
      <c r="I448" s="215">
        <f>64750/1.21</f>
        <v>53512.396694214876</v>
      </c>
      <c r="J448" s="215">
        <v>125</v>
      </c>
    </row>
    <row r="449" spans="1:16" ht="16.5">
      <c r="A449" s="205">
        <f>(SUM(A448,1))</f>
        <v>332</v>
      </c>
      <c r="B449" s="303" t="s">
        <v>2192</v>
      </c>
      <c r="C449" s="302" t="s">
        <v>450</v>
      </c>
      <c r="D449" s="300">
        <v>1</v>
      </c>
      <c r="E449" s="218">
        <f>ROUND($I$443*I449,1)</f>
        <v>56628.1</v>
      </c>
      <c r="F449" s="217">
        <f>PRODUCT(D449,E449)</f>
        <v>56628.1</v>
      </c>
      <c r="G449" s="218">
        <f>ROUND($J$1*J449,1)</f>
        <v>662.5</v>
      </c>
      <c r="H449" s="217">
        <f>PRODUCT(D449,G449)</f>
        <v>662.5</v>
      </c>
      <c r="I449" s="215">
        <f>57100/1.21</f>
        <v>47190.082644628099</v>
      </c>
      <c r="J449" s="215">
        <v>125</v>
      </c>
    </row>
    <row r="450" spans="1:16" ht="16.5">
      <c r="A450" s="205">
        <f>(SUM(A449,1))</f>
        <v>333</v>
      </c>
      <c r="B450" s="231" t="s">
        <v>2191</v>
      </c>
      <c r="C450" s="222" t="s">
        <v>450</v>
      </c>
      <c r="D450" s="300">
        <v>2</v>
      </c>
      <c r="E450" s="218">
        <f>ROUND($I$443*I450,1)</f>
        <v>240000</v>
      </c>
      <c r="F450" s="217">
        <f>PRODUCT(D450,E450)</f>
        <v>480000</v>
      </c>
      <c r="G450" s="218">
        <f>ROUND($J$1*J450,1)</f>
        <v>5300</v>
      </c>
      <c r="H450" s="217">
        <f>PRODUCT(D450,G450)</f>
        <v>10600</v>
      </c>
      <c r="I450" s="215">
        <v>200000</v>
      </c>
      <c r="J450" s="215">
        <v>1000</v>
      </c>
    </row>
    <row r="451" spans="1:16" ht="16.5">
      <c r="A451" s="205">
        <f>(SUM(A450,1))</f>
        <v>334</v>
      </c>
      <c r="B451" s="303" t="s">
        <v>2190</v>
      </c>
      <c r="C451" s="302" t="s">
        <v>450</v>
      </c>
      <c r="D451" s="300">
        <v>1</v>
      </c>
      <c r="E451" s="218">
        <f>ROUND($I$443*I451,1)</f>
        <v>134400</v>
      </c>
      <c r="F451" s="217">
        <f>PRODUCT(D451,E451)</f>
        <v>134400</v>
      </c>
      <c r="G451" s="218">
        <f>ROUND($J$1*J451,1)</f>
        <v>3710</v>
      </c>
      <c r="H451" s="217">
        <f>PRODUCT(D451,G451)</f>
        <v>3710</v>
      </c>
      <c r="I451" s="215">
        <v>112000</v>
      </c>
      <c r="J451" s="215">
        <v>700</v>
      </c>
    </row>
    <row r="452" spans="1:16">
      <c r="A452" s="205">
        <f>(SUM(A451,1))</f>
        <v>335</v>
      </c>
      <c r="B452" s="231" t="s">
        <v>2189</v>
      </c>
      <c r="C452" s="222" t="s">
        <v>450</v>
      </c>
      <c r="D452" s="221">
        <v>3</v>
      </c>
      <c r="E452" s="218">
        <f>ROUND($I$443*I452,1)</f>
        <v>9600</v>
      </c>
      <c r="F452" s="217">
        <f>PRODUCT(D452,E452)</f>
        <v>28800</v>
      </c>
      <c r="G452" s="218">
        <f>ROUND($J$1*J452,1)</f>
        <v>662.5</v>
      </c>
      <c r="H452" s="217">
        <f>PRODUCT(D452,G452)</f>
        <v>1987.5</v>
      </c>
      <c r="I452" s="215">
        <v>8000</v>
      </c>
      <c r="J452" s="215">
        <v>125</v>
      </c>
    </row>
    <row r="453" spans="1:16">
      <c r="A453" s="205">
        <f>(SUM(A452,1))</f>
        <v>336</v>
      </c>
      <c r="B453" s="230" t="s">
        <v>2188</v>
      </c>
      <c r="C453" s="222" t="s">
        <v>450</v>
      </c>
      <c r="D453" s="221">
        <v>1</v>
      </c>
      <c r="E453" s="218">
        <f>ROUND($I$443*I453,1)</f>
        <v>19041.3</v>
      </c>
      <c r="F453" s="217">
        <f>PRODUCT(D453,E453)</f>
        <v>19041.3</v>
      </c>
      <c r="G453" s="218">
        <f>ROUND($J$1*J453,1)</f>
        <v>503.5</v>
      </c>
      <c r="H453" s="217">
        <f>PRODUCT(D453,G453)</f>
        <v>503.5</v>
      </c>
      <c r="I453" s="216">
        <f>19200/1.21</f>
        <v>15867.768595041323</v>
      </c>
      <c r="J453" s="215">
        <v>95</v>
      </c>
      <c r="P453" s="221">
        <v>2</v>
      </c>
    </row>
    <row r="454" spans="1:16" ht="16.5">
      <c r="A454" s="205">
        <f>(SUM(A453,1))</f>
        <v>337</v>
      </c>
      <c r="B454" s="230" t="s">
        <v>2187</v>
      </c>
      <c r="C454" s="222" t="s">
        <v>1247</v>
      </c>
      <c r="D454" s="221">
        <v>20</v>
      </c>
      <c r="E454" s="218">
        <f>ROUND($I$443*I454,1)</f>
        <v>0</v>
      </c>
      <c r="F454" s="217">
        <f>PRODUCT(D454,E454)</f>
        <v>0</v>
      </c>
      <c r="G454" s="218">
        <f>ROUND($J$1*J454,1)</f>
        <v>800</v>
      </c>
      <c r="H454" s="217">
        <f>PRODUCT(D454,G454)</f>
        <v>16000</v>
      </c>
      <c r="I454" s="216">
        <v>0</v>
      </c>
      <c r="J454" s="215">
        <f>800/$J$1</f>
        <v>150.9433962264151</v>
      </c>
      <c r="P454" s="221">
        <v>2</v>
      </c>
    </row>
    <row r="455" spans="1:16">
      <c r="A455" s="201">
        <f>(SUM(A454,1))</f>
        <v>338</v>
      </c>
      <c r="B455" s="198"/>
      <c r="C455" s="200"/>
      <c r="D455" s="200"/>
      <c r="E455" s="200"/>
      <c r="F455" s="199">
        <f>SUM(F445:F454)</f>
        <v>1805342.0000000002</v>
      </c>
      <c r="G455" s="198"/>
      <c r="H455" s="199">
        <f>SUM(H445:H454)</f>
        <v>92664.5</v>
      </c>
    </row>
    <row r="456" spans="1:16">
      <c r="A456" s="196">
        <f>(SUM(A455,1))</f>
        <v>339</v>
      </c>
      <c r="B456" s="195" t="s">
        <v>2176</v>
      </c>
      <c r="C456" s="192"/>
      <c r="D456" s="194">
        <v>1</v>
      </c>
      <c r="E456" s="192" t="s">
        <v>565</v>
      </c>
      <c r="F456" s="213">
        <f>ROUND(F455*D456*0.01,1)</f>
        <v>18053.400000000001</v>
      </c>
      <c r="G456" s="192"/>
      <c r="H456" s="191"/>
    </row>
    <row r="457" spans="1:16">
      <c r="A457" s="196">
        <f>(SUM(A456,1))</f>
        <v>340</v>
      </c>
      <c r="B457" s="195" t="s">
        <v>2175</v>
      </c>
      <c r="C457" s="192"/>
      <c r="D457" s="194">
        <v>6</v>
      </c>
      <c r="E457" s="192" t="s">
        <v>565</v>
      </c>
      <c r="F457" s="193"/>
      <c r="G457" s="192"/>
      <c r="H457" s="213">
        <f>ROUND(H455*D457*0.01,1)</f>
        <v>5559.9</v>
      </c>
    </row>
    <row r="458" spans="1:16">
      <c r="A458" s="190">
        <f>(SUM(A457,1))</f>
        <v>341</v>
      </c>
      <c r="B458" s="189" t="s">
        <v>2168</v>
      </c>
      <c r="C458" s="188"/>
      <c r="D458" s="188"/>
      <c r="E458" s="188"/>
      <c r="F458" s="187">
        <f>SUM(F455:F457)</f>
        <v>1823395.4000000001</v>
      </c>
      <c r="G458" s="212"/>
      <c r="H458" s="187">
        <f>SUM(H455:H457)</f>
        <v>98224.4</v>
      </c>
    </row>
    <row r="459" spans="1:16">
      <c r="B459" s="229"/>
      <c r="C459" s="192"/>
      <c r="D459" s="192"/>
      <c r="E459" s="192"/>
      <c r="F459" s="228"/>
      <c r="G459" s="192"/>
      <c r="H459" s="228"/>
    </row>
    <row r="460" spans="1:16">
      <c r="B460" s="229"/>
      <c r="C460" s="192"/>
      <c r="D460" s="192"/>
      <c r="E460" s="192"/>
      <c r="F460" s="228"/>
      <c r="G460" s="192"/>
      <c r="H460" s="228"/>
    </row>
    <row r="462" spans="1:16">
      <c r="B462" s="227" t="s">
        <v>2186</v>
      </c>
      <c r="C462" s="210"/>
      <c r="D462" s="210"/>
      <c r="E462" s="299" t="s">
        <v>2173</v>
      </c>
      <c r="F462" s="299"/>
      <c r="G462" s="299" t="s">
        <v>2172</v>
      </c>
      <c r="H462" s="299"/>
    </row>
    <row r="463" spans="1:16">
      <c r="A463" s="209" t="s">
        <v>2171</v>
      </c>
      <c r="B463" s="226" t="s">
        <v>2170</v>
      </c>
      <c r="C463" s="207" t="s">
        <v>2185</v>
      </c>
      <c r="D463" s="206" t="s">
        <v>2184</v>
      </c>
      <c r="E463" s="207" t="s">
        <v>2183</v>
      </c>
      <c r="F463" s="206" t="s">
        <v>2169</v>
      </c>
      <c r="G463" s="207" t="s">
        <v>2183</v>
      </c>
      <c r="H463" s="206" t="s">
        <v>2169</v>
      </c>
      <c r="I463" s="225"/>
      <c r="J463" s="225"/>
    </row>
    <row r="464" spans="1:16">
      <c r="A464" s="205">
        <f>(SUM(A458,1))</f>
        <v>342</v>
      </c>
      <c r="B464" s="224" t="s">
        <v>2182</v>
      </c>
      <c r="C464" s="219" t="s">
        <v>2177</v>
      </c>
      <c r="D464" s="214">
        <v>1</v>
      </c>
      <c r="E464" s="218">
        <f>ROUND($I$1*I464,1)</f>
        <v>0</v>
      </c>
      <c r="F464" s="217">
        <f>PRODUCT(D464,E464)</f>
        <v>0</v>
      </c>
      <c r="G464" s="218">
        <f>ROUND($J$1*J464,1)</f>
        <v>10000</v>
      </c>
      <c r="H464" s="217">
        <f>PRODUCT(D464,G464)</f>
        <v>10000</v>
      </c>
      <c r="I464" s="216">
        <v>0</v>
      </c>
      <c r="J464" s="215">
        <f>10000/$J$1</f>
        <v>1886.7924528301887</v>
      </c>
      <c r="P464" s="214">
        <v>1</v>
      </c>
    </row>
    <row r="465" spans="1:16">
      <c r="A465" s="205">
        <f>(SUM(A464,1))</f>
        <v>343</v>
      </c>
      <c r="B465" s="224" t="s">
        <v>2181</v>
      </c>
      <c r="C465" s="219" t="s">
        <v>1247</v>
      </c>
      <c r="D465" s="214">
        <v>120</v>
      </c>
      <c r="E465" s="218">
        <f>ROUND($I$1*I465,1)</f>
        <v>0</v>
      </c>
      <c r="F465" s="217">
        <f>PRODUCT(D465,E465)</f>
        <v>0</v>
      </c>
      <c r="G465" s="218">
        <f>ROUND($J$1*J465,1)</f>
        <v>450</v>
      </c>
      <c r="H465" s="217">
        <f>PRODUCT(D465,G465)</f>
        <v>54000</v>
      </c>
      <c r="I465" s="216">
        <v>0</v>
      </c>
      <c r="J465" s="215">
        <f>450/$J$1</f>
        <v>84.905660377358487</v>
      </c>
      <c r="P465" s="214">
        <v>200</v>
      </c>
    </row>
    <row r="466" spans="1:16" ht="24.75">
      <c r="A466" s="205">
        <f>(SUM(A465,1))</f>
        <v>344</v>
      </c>
      <c r="B466" s="224" t="s">
        <v>2180</v>
      </c>
      <c r="C466" s="219" t="s">
        <v>1247</v>
      </c>
      <c r="D466" s="214">
        <v>60</v>
      </c>
      <c r="E466" s="218">
        <f>ROUND($I$1*I466,1)</f>
        <v>0</v>
      </c>
      <c r="F466" s="217">
        <f>PRODUCT(D466,E466)</f>
        <v>0</v>
      </c>
      <c r="G466" s="218">
        <f>ROUND($J$1*J466,1)</f>
        <v>450</v>
      </c>
      <c r="H466" s="217">
        <f>PRODUCT(D466,G466)</f>
        <v>27000</v>
      </c>
      <c r="I466" s="216">
        <v>0</v>
      </c>
      <c r="J466" s="215">
        <f>450/$J$1</f>
        <v>84.905660377358487</v>
      </c>
      <c r="P466" s="214"/>
    </row>
    <row r="467" spans="1:16">
      <c r="A467" s="205">
        <f>(SUM(A466,1))</f>
        <v>345</v>
      </c>
      <c r="B467" s="223" t="s">
        <v>2454</v>
      </c>
      <c r="C467" s="222" t="s">
        <v>2177</v>
      </c>
      <c r="D467" s="221">
        <v>1</v>
      </c>
      <c r="E467" s="218">
        <f>ROUND($I$1*I467,1)</f>
        <v>0</v>
      </c>
      <c r="F467" s="217">
        <f>PRODUCT(D467,E467)</f>
        <v>0</v>
      </c>
      <c r="G467" s="218">
        <f>ROUND($J$1*J467,1)</f>
        <v>35000</v>
      </c>
      <c r="H467" s="217">
        <f>PRODUCT(D467,G467)</f>
        <v>35000</v>
      </c>
      <c r="I467" s="216">
        <v>0</v>
      </c>
      <c r="J467" s="215">
        <f>35000/$J$1</f>
        <v>6603.7735849056608</v>
      </c>
      <c r="P467" s="221">
        <v>1</v>
      </c>
    </row>
    <row r="468" spans="1:16">
      <c r="A468" s="205">
        <f>(SUM(A467,1))</f>
        <v>346</v>
      </c>
      <c r="B468" s="220" t="s">
        <v>2178</v>
      </c>
      <c r="C468" s="219" t="s">
        <v>2177</v>
      </c>
      <c r="D468" s="214">
        <v>1</v>
      </c>
      <c r="E468" s="218">
        <f>ROUND($I$1*I468,1)</f>
        <v>0</v>
      </c>
      <c r="F468" s="217">
        <f>PRODUCT(D468,E468)</f>
        <v>0</v>
      </c>
      <c r="G468" s="218">
        <f>ROUND($J$1*J468,1)</f>
        <v>25000</v>
      </c>
      <c r="H468" s="217">
        <f>PRODUCT(D468,G468)</f>
        <v>25000</v>
      </c>
      <c r="I468" s="216">
        <v>0</v>
      </c>
      <c r="J468" s="215">
        <f>25000/$J$1</f>
        <v>4716.9811320754716</v>
      </c>
      <c r="P468" s="214">
        <v>1</v>
      </c>
    </row>
    <row r="469" spans="1:16">
      <c r="A469" s="201">
        <f>(SUM(A468,1))</f>
        <v>347</v>
      </c>
      <c r="B469" s="198"/>
      <c r="C469" s="200"/>
      <c r="D469" s="200"/>
      <c r="E469" s="200"/>
      <c r="F469" s="199">
        <f>SUM(F464:F468)</f>
        <v>0</v>
      </c>
      <c r="G469" s="198"/>
      <c r="H469" s="199">
        <f>SUM(H464:H468)</f>
        <v>151000</v>
      </c>
    </row>
    <row r="470" spans="1:16">
      <c r="A470" s="196">
        <f>(SUM(A469,1))</f>
        <v>348</v>
      </c>
      <c r="B470" s="195" t="s">
        <v>2176</v>
      </c>
      <c r="C470" s="192"/>
      <c r="D470" s="194">
        <v>0</v>
      </c>
      <c r="E470" s="192" t="s">
        <v>565</v>
      </c>
      <c r="F470" s="213">
        <f>ROUND(F469*D470*0.01,1)</f>
        <v>0</v>
      </c>
      <c r="G470" s="192"/>
      <c r="H470" s="191"/>
    </row>
    <row r="471" spans="1:16">
      <c r="A471" s="196">
        <f>(SUM(A470,1))</f>
        <v>349</v>
      </c>
      <c r="B471" s="195" t="s">
        <v>2175</v>
      </c>
      <c r="C471" s="192"/>
      <c r="D471" s="194">
        <v>0</v>
      </c>
      <c r="E471" s="192" t="s">
        <v>565</v>
      </c>
      <c r="F471" s="193"/>
      <c r="G471" s="192"/>
      <c r="H471" s="213">
        <f>ROUND(H469*D471*0.01,1)</f>
        <v>0</v>
      </c>
    </row>
    <row r="472" spans="1:16">
      <c r="A472" s="190">
        <f>(SUM(A471,1))</f>
        <v>350</v>
      </c>
      <c r="B472" s="189" t="s">
        <v>2168</v>
      </c>
      <c r="C472" s="188"/>
      <c r="D472" s="188"/>
      <c r="E472" s="188"/>
      <c r="F472" s="187">
        <f>SUM(F469:F471)</f>
        <v>0</v>
      </c>
      <c r="G472" s="212"/>
      <c r="H472" s="187">
        <f>SUM(H469:H471)</f>
        <v>151000</v>
      </c>
    </row>
    <row r="507" spans="1:8" ht="13.5" thickBot="1">
      <c r="A507" s="174"/>
      <c r="B507" s="174"/>
      <c r="C507" s="174"/>
      <c r="D507" s="174"/>
      <c r="E507" s="174"/>
      <c r="F507" s="174"/>
      <c r="G507" s="174"/>
      <c r="H507" s="174"/>
    </row>
    <row r="508" spans="1:8" ht="13.5" thickTop="1"/>
    <row r="509" spans="1:8">
      <c r="B509" s="211" t="s">
        <v>2174</v>
      </c>
      <c r="C509" s="210"/>
      <c r="D509" s="210"/>
      <c r="E509" s="299" t="s">
        <v>2173</v>
      </c>
      <c r="F509" s="299"/>
      <c r="G509" s="299" t="s">
        <v>2172</v>
      </c>
      <c r="H509" s="299"/>
    </row>
    <row r="510" spans="1:8">
      <c r="A510" s="209" t="s">
        <v>2171</v>
      </c>
      <c r="B510" s="296" t="s">
        <v>2170</v>
      </c>
      <c r="C510" s="297"/>
      <c r="D510" s="298"/>
      <c r="E510" s="208"/>
      <c r="F510" s="206" t="s">
        <v>2169</v>
      </c>
      <c r="G510" s="207"/>
      <c r="H510" s="206" t="s">
        <v>2169</v>
      </c>
    </row>
    <row r="511" spans="1:8">
      <c r="A511" s="205">
        <f>(SUM(A472,1))</f>
        <v>351</v>
      </c>
      <c r="B511" s="204" t="str">
        <f>B1</f>
        <v>1. Elektroinstalace - silnoproudá</v>
      </c>
      <c r="C511" s="203"/>
      <c r="D511" s="202">
        <v>21</v>
      </c>
      <c r="E511" s="289">
        <f>F74</f>
        <v>1678182.5000000002</v>
      </c>
      <c r="F511" s="290"/>
      <c r="G511" s="289">
        <f>H74</f>
        <v>451165.39999999997</v>
      </c>
      <c r="H511" s="290"/>
    </row>
    <row r="512" spans="1:8">
      <c r="A512" s="205">
        <f>(SUM(A511,1))</f>
        <v>352</v>
      </c>
      <c r="B512" s="204" t="str">
        <f>B78</f>
        <v>2. Elektroinstalace -  napojení NN, rozváděčů, měření, venkovní obvody</v>
      </c>
      <c r="C512" s="203"/>
      <c r="D512" s="202">
        <v>21</v>
      </c>
      <c r="E512" s="289">
        <f>F101</f>
        <v>637168.30000000005</v>
      </c>
      <c r="F512" s="290"/>
      <c r="G512" s="289">
        <f>H101</f>
        <v>92249.2</v>
      </c>
      <c r="H512" s="290"/>
    </row>
    <row r="513" spans="1:8">
      <c r="A513" s="205">
        <f>(SUM(A512,1))</f>
        <v>353</v>
      </c>
      <c r="B513" s="204" t="str">
        <f>B105</f>
        <v>3. Rozváděč RHB</v>
      </c>
      <c r="C513" s="203"/>
      <c r="D513" s="202">
        <v>21</v>
      </c>
      <c r="E513" s="289">
        <f>F135</f>
        <v>247520.6</v>
      </c>
      <c r="F513" s="290"/>
      <c r="G513" s="289">
        <f>H135</f>
        <v>28343.5</v>
      </c>
      <c r="H513" s="290"/>
    </row>
    <row r="514" spans="1:8">
      <c r="A514" s="205">
        <f>(SUM(A513,1))</f>
        <v>354</v>
      </c>
      <c r="B514" s="204" t="str">
        <f>B139</f>
        <v>4. Rozváděč RB11</v>
      </c>
      <c r="C514" s="203"/>
      <c r="D514" s="202">
        <v>21</v>
      </c>
      <c r="E514" s="289">
        <f>F157</f>
        <v>188945.09999999998</v>
      </c>
      <c r="F514" s="290"/>
      <c r="G514" s="289">
        <f>H157</f>
        <v>20564</v>
      </c>
      <c r="H514" s="290"/>
    </row>
    <row r="515" spans="1:8">
      <c r="A515" s="205">
        <f>(SUM(A514,1))</f>
        <v>355</v>
      </c>
      <c r="B515" s="204" t="str">
        <f>B161</f>
        <v>5. Rozváděč RB21</v>
      </c>
      <c r="C515" s="203"/>
      <c r="D515" s="202">
        <v>21</v>
      </c>
      <c r="E515" s="289">
        <f>F178</f>
        <v>140008.1</v>
      </c>
      <c r="F515" s="290"/>
      <c r="G515" s="289">
        <f>H178</f>
        <v>11929.8</v>
      </c>
      <c r="H515" s="290"/>
    </row>
    <row r="516" spans="1:8">
      <c r="A516" s="205">
        <f>(SUM(A515,1))</f>
        <v>356</v>
      </c>
      <c r="B516" s="204" t="str">
        <f>B182</f>
        <v>6. Rozváděč RB22</v>
      </c>
      <c r="C516" s="203"/>
      <c r="D516" s="202">
        <v>21</v>
      </c>
      <c r="E516" s="289">
        <f>F200</f>
        <v>148817.1</v>
      </c>
      <c r="F516" s="290"/>
      <c r="G516" s="289">
        <f>H200</f>
        <v>13582.199999999999</v>
      </c>
      <c r="H516" s="290"/>
    </row>
    <row r="517" spans="1:8">
      <c r="A517" s="205">
        <f>(SUM(A516,1))</f>
        <v>357</v>
      </c>
      <c r="B517" s="204" t="str">
        <f>B204</f>
        <v>7. Rozváděč RTC</v>
      </c>
      <c r="C517" s="203"/>
      <c r="D517" s="202">
        <v>21</v>
      </c>
      <c r="E517" s="289">
        <f>F222</f>
        <v>36218.1</v>
      </c>
      <c r="F517" s="290"/>
      <c r="G517" s="289">
        <f>H222</f>
        <v>5763.0999999999995</v>
      </c>
      <c r="H517" s="290"/>
    </row>
    <row r="518" spans="1:8">
      <c r="A518" s="205">
        <f>(SUM(A517,1))</f>
        <v>358</v>
      </c>
      <c r="B518" s="204" t="str">
        <f>B226</f>
        <v>8. Rozváděč RFVE-B</v>
      </c>
      <c r="C518" s="203"/>
      <c r="D518" s="202">
        <v>21</v>
      </c>
      <c r="E518" s="289">
        <f>F242</f>
        <v>36765.4</v>
      </c>
      <c r="F518" s="290"/>
      <c r="G518" s="289">
        <f>H242</f>
        <v>5150.3999999999996</v>
      </c>
      <c r="H518" s="290"/>
    </row>
    <row r="519" spans="1:8">
      <c r="A519" s="205">
        <f>(SUM(A518,1))</f>
        <v>359</v>
      </c>
      <c r="B519" s="204" t="str">
        <f>B246</f>
        <v>9. Svítidla vč. zdrojů a předřadníků</v>
      </c>
      <c r="C519" s="203"/>
      <c r="D519" s="202">
        <v>21</v>
      </c>
      <c r="E519" s="289">
        <f>F268</f>
        <v>1018046.3</v>
      </c>
      <c r="F519" s="290"/>
      <c r="G519" s="289">
        <f>H268</f>
        <v>112360</v>
      </c>
      <c r="H519" s="290"/>
    </row>
    <row r="520" spans="1:8">
      <c r="A520" s="205">
        <f>(SUM(A519,1))</f>
        <v>360</v>
      </c>
      <c r="B520" s="204" t="str">
        <f>B272</f>
        <v>10. Hromosvody a uzemnění</v>
      </c>
      <c r="C520" s="203"/>
      <c r="D520" s="202">
        <v>21</v>
      </c>
      <c r="E520" s="289">
        <f>F298</f>
        <v>97192.000000000015</v>
      </c>
      <c r="F520" s="290"/>
      <c r="G520" s="289">
        <f>H298</f>
        <v>67061.200000000012</v>
      </c>
      <c r="H520" s="290"/>
    </row>
    <row r="521" spans="1:8">
      <c r="A521" s="205">
        <f>(SUM(A520,1))</f>
        <v>361</v>
      </c>
      <c r="B521" s="204" t="str">
        <f>B302</f>
        <v>11. Strukturovaná kabeláž, telekomunikace, A/V, Domovní telefon</v>
      </c>
      <c r="C521" s="203"/>
      <c r="D521" s="202">
        <v>21</v>
      </c>
      <c r="E521" s="289">
        <f>F363</f>
        <v>913648.60000000009</v>
      </c>
      <c r="F521" s="290"/>
      <c r="G521" s="289">
        <f>H363</f>
        <v>292490.59999999998</v>
      </c>
      <c r="H521" s="290"/>
    </row>
    <row r="522" spans="1:8">
      <c r="A522" s="205">
        <f>(SUM(A521,1))</f>
        <v>362</v>
      </c>
      <c r="B522" s="204" t="str">
        <f>B367</f>
        <v>12. SE-PA - Sestra - pacient</v>
      </c>
      <c r="C522" s="203"/>
      <c r="D522" s="202">
        <v>21</v>
      </c>
      <c r="E522" s="289">
        <f>F397</f>
        <v>565564.80000000005</v>
      </c>
      <c r="F522" s="290"/>
      <c r="G522" s="289">
        <f>H397</f>
        <v>186730.1</v>
      </c>
      <c r="H522" s="290"/>
    </row>
    <row r="523" spans="1:8" ht="24.75">
      <c r="A523" s="205">
        <f>(SUM(A522,1))</f>
        <v>363</v>
      </c>
      <c r="B523" s="204" t="str">
        <f>B401</f>
        <v>13. Satelitní a televizní systém</v>
      </c>
      <c r="C523" s="203"/>
      <c r="D523" s="202">
        <v>21</v>
      </c>
      <c r="E523" s="289">
        <f>F420</f>
        <v>147329.1</v>
      </c>
      <c r="F523" s="290"/>
      <c r="G523" s="289">
        <f>H420</f>
        <v>67441.600000000006</v>
      </c>
      <c r="H523" s="290"/>
    </row>
    <row r="524" spans="1:8">
      <c r="A524" s="205">
        <f>(SUM(A523,1))</f>
        <v>364</v>
      </c>
      <c r="B524" s="204" t="str">
        <f>B424</f>
        <v>14. PZTS (EZS) - požární detekce</v>
      </c>
      <c r="C524" s="203"/>
      <c r="D524" s="202">
        <v>21</v>
      </c>
      <c r="E524" s="289">
        <f>F439</f>
        <v>142931</v>
      </c>
      <c r="F524" s="290"/>
      <c r="G524" s="289">
        <f>H439</f>
        <v>34951.4</v>
      </c>
      <c r="H524" s="290"/>
    </row>
    <row r="525" spans="1:8">
      <c r="A525" s="205">
        <f>(SUM(A524,1))</f>
        <v>365</v>
      </c>
      <c r="B525" s="204" t="str">
        <f>B443</f>
        <v>15. Dodávky technologie FVE</v>
      </c>
      <c r="C525" s="203"/>
      <c r="D525" s="202">
        <v>21</v>
      </c>
      <c r="E525" s="289">
        <f>F458</f>
        <v>1823395.4000000001</v>
      </c>
      <c r="F525" s="290"/>
      <c r="G525" s="289">
        <f>H458</f>
        <v>98224.4</v>
      </c>
      <c r="H525" s="290"/>
    </row>
    <row r="526" spans="1:8">
      <c r="A526" s="205">
        <f>(SUM(A525,1))</f>
        <v>366</v>
      </c>
      <c r="B526" s="204" t="str">
        <f>B462</f>
        <v>16. HZS, PD, revize</v>
      </c>
      <c r="C526" s="203"/>
      <c r="D526" s="202">
        <v>21</v>
      </c>
      <c r="E526" s="289">
        <f>F472</f>
        <v>0</v>
      </c>
      <c r="F526" s="290"/>
      <c r="G526" s="289">
        <f>H472</f>
        <v>151000</v>
      </c>
      <c r="H526" s="290"/>
    </row>
    <row r="527" spans="1:8">
      <c r="A527" s="201"/>
      <c r="B527" s="198"/>
      <c r="C527" s="200"/>
      <c r="D527" s="200"/>
      <c r="E527" s="200"/>
      <c r="F527" s="199"/>
      <c r="G527" s="198"/>
      <c r="H527" s="197"/>
    </row>
    <row r="528" spans="1:8">
      <c r="A528" s="196"/>
      <c r="B528" s="195"/>
      <c r="C528" s="192"/>
      <c r="D528" s="194"/>
      <c r="E528" s="192"/>
      <c r="F528" s="193"/>
      <c r="G528" s="192"/>
      <c r="H528" s="191"/>
    </row>
    <row r="529" spans="1:11">
      <c r="A529" s="190">
        <f>(SUM(A526,1))</f>
        <v>367</v>
      </c>
      <c r="B529" s="189" t="s">
        <v>2168</v>
      </c>
      <c r="C529" s="188"/>
      <c r="D529" s="188"/>
      <c r="E529" s="293">
        <f>SUM(E511:F526)</f>
        <v>7821732.4000000013</v>
      </c>
      <c r="F529" s="294"/>
      <c r="G529" s="295">
        <f>SUM(G511:H526)</f>
        <v>1639006.9</v>
      </c>
      <c r="H529" s="294"/>
    </row>
    <row r="532" spans="1:11">
      <c r="A532" s="178">
        <f>(SUM(A529,1))</f>
        <v>368</v>
      </c>
      <c r="B532" s="186" t="s">
        <v>2167</v>
      </c>
      <c r="C532" s="186"/>
      <c r="D532" s="186"/>
      <c r="E532" s="292">
        <f>SUM(E529:H529)</f>
        <v>9460739.3000000007</v>
      </c>
      <c r="F532" s="292"/>
      <c r="G532" s="185" t="s">
        <v>2166</v>
      </c>
    </row>
    <row r="533" spans="1:11">
      <c r="B533" s="184"/>
      <c r="K533" s="183"/>
    </row>
    <row r="535" spans="1:11">
      <c r="B535" s="182">
        <f>E535+G535</f>
        <v>0</v>
      </c>
      <c r="C535" s="180"/>
      <c r="D535" s="179">
        <v>15</v>
      </c>
      <c r="E535" s="286">
        <f>SUM(SUMIF(D511:D526,D535,E511:E526),SUMIF(D511:D526,D535,G511:G526))</f>
        <v>0</v>
      </c>
      <c r="F535" s="286"/>
      <c r="G535" s="287">
        <f>CEILING(E535*D535/100,0.1)</f>
        <v>0</v>
      </c>
      <c r="H535" s="288"/>
    </row>
    <row r="536" spans="1:11">
      <c r="B536" s="181">
        <f>E536+G536</f>
        <v>11447494.600000001</v>
      </c>
      <c r="C536" s="180"/>
      <c r="D536" s="179">
        <v>21</v>
      </c>
      <c r="E536" s="286">
        <f>SUM(SUMIF(D511:D526,D536,E511:E526),SUMIF(D511:D526,D536,G511:G526))</f>
        <v>9460739.3000000007</v>
      </c>
      <c r="F536" s="286"/>
      <c r="G536" s="287">
        <f>CEILING(E536*D536/100,0.1)</f>
        <v>1986755.3</v>
      </c>
      <c r="H536" s="288"/>
    </row>
    <row r="539" spans="1:11">
      <c r="A539" s="178">
        <f>(SUM(A532,1))</f>
        <v>369</v>
      </c>
      <c r="B539" s="177" t="s">
        <v>2165</v>
      </c>
      <c r="E539" s="291">
        <f>SUM(B535:B536)</f>
        <v>11447494.600000001</v>
      </c>
      <c r="F539" s="291"/>
      <c r="G539" s="176" t="s">
        <v>2164</v>
      </c>
    </row>
    <row r="540" spans="1:11" ht="13.5" thickBot="1">
      <c r="A540" s="174"/>
      <c r="B540" s="175"/>
      <c r="C540" s="174"/>
      <c r="D540" s="174"/>
      <c r="E540" s="174"/>
      <c r="F540" s="174"/>
      <c r="G540" s="174"/>
      <c r="H540" s="174"/>
    </row>
    <row r="541" spans="1:11" ht="13.5" thickTop="1"/>
  </sheetData>
  <mergeCells count="75">
    <mergeCell ref="E519:F519"/>
    <mergeCell ref="G519:H519"/>
    <mergeCell ref="E525:F525"/>
    <mergeCell ref="G525:H525"/>
    <mergeCell ref="E513:F513"/>
    <mergeCell ref="G513:H513"/>
    <mergeCell ref="E514:F514"/>
    <mergeCell ref="G514:H514"/>
    <mergeCell ref="E515:F515"/>
    <mergeCell ref="G515:H515"/>
    <mergeCell ref="E516:F516"/>
    <mergeCell ref="G516:H516"/>
    <mergeCell ref="G367:H367"/>
    <mergeCell ref="E401:F401"/>
    <mergeCell ref="G401:H401"/>
    <mergeCell ref="E518:F518"/>
    <mergeCell ref="G518:H518"/>
    <mergeCell ref="E443:F443"/>
    <mergeCell ref="G443:H443"/>
    <mergeCell ref="G226:H226"/>
    <mergeCell ref="E517:F517"/>
    <mergeCell ref="G517:H517"/>
    <mergeCell ref="E246:F246"/>
    <mergeCell ref="G246:H246"/>
    <mergeCell ref="E272:F272"/>
    <mergeCell ref="G272:H272"/>
    <mergeCell ref="E302:F302"/>
    <mergeCell ref="G302:H302"/>
    <mergeCell ref="E367:F367"/>
    <mergeCell ref="E1:F1"/>
    <mergeCell ref="G1:H1"/>
    <mergeCell ref="E78:F78"/>
    <mergeCell ref="G78:H78"/>
    <mergeCell ref="E105:F105"/>
    <mergeCell ref="G105:H105"/>
    <mergeCell ref="G509:H509"/>
    <mergeCell ref="E139:F139"/>
    <mergeCell ref="G139:H139"/>
    <mergeCell ref="E161:F161"/>
    <mergeCell ref="G161:H161"/>
    <mergeCell ref="E182:F182"/>
    <mergeCell ref="G182:H182"/>
    <mergeCell ref="E204:F204"/>
    <mergeCell ref="G204:H204"/>
    <mergeCell ref="E226:F226"/>
    <mergeCell ref="B510:D510"/>
    <mergeCell ref="E511:F511"/>
    <mergeCell ref="G511:H511"/>
    <mergeCell ref="E512:F512"/>
    <mergeCell ref="G512:H512"/>
    <mergeCell ref="E424:F424"/>
    <mergeCell ref="G424:H424"/>
    <mergeCell ref="E462:F462"/>
    <mergeCell ref="G462:H462"/>
    <mergeCell ref="E509:F509"/>
    <mergeCell ref="E535:F535"/>
    <mergeCell ref="G535:H535"/>
    <mergeCell ref="E536:F536"/>
    <mergeCell ref="G536:H536"/>
    <mergeCell ref="E520:F520"/>
    <mergeCell ref="G520:H520"/>
    <mergeCell ref="E521:F521"/>
    <mergeCell ref="G521:H521"/>
    <mergeCell ref="E522:F522"/>
    <mergeCell ref="G522:H522"/>
    <mergeCell ref="E523:F523"/>
    <mergeCell ref="G523:H523"/>
    <mergeCell ref="E539:F539"/>
    <mergeCell ref="E524:F524"/>
    <mergeCell ref="G524:H524"/>
    <mergeCell ref="E526:F526"/>
    <mergeCell ref="G526:H526"/>
    <mergeCell ref="E529:F529"/>
    <mergeCell ref="G529:H529"/>
    <mergeCell ref="E532:F532"/>
  </mergeCells>
  <printOptions horizontalCentered="1"/>
  <pageMargins left="0.39370078740157483" right="0.39370078740157483" top="0.59055118110236227" bottom="0.78740157480314965" header="0.39370078740157483" footer="0.39370078740157483"/>
  <pageSetup paperSize="9" orientation="portrait" r:id="rId1"/>
  <headerFooter alignWithMargins="0">
    <oddHeader>&amp;C&amp;6Elektroinstalace - &amp;"Arial CE,Tučné"Rozvoj komunitních sociálních služeb DOZP v lokalitě Jičín - BUDOVA B - Aktualizace PD 11/2022</oddHeader>
    <oddFooter>&amp;L&amp;6Vypracoval :
Roman Hladík&amp;C&amp;6Stránka &amp;P z &amp;N&amp;R&amp;6Datum vytvoření - 7.11.2022
Datum tisku - &amp;D</oddFooter>
  </headerFooter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2:BM162"/>
  <sheetViews>
    <sheetView showGridLines="0" workbookViewId="0"/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69" t="s">
        <v>5</v>
      </c>
      <c r="M2" s="250"/>
      <c r="N2" s="250"/>
      <c r="O2" s="250"/>
      <c r="P2" s="250"/>
      <c r="Q2" s="250"/>
      <c r="R2" s="250"/>
      <c r="S2" s="250"/>
      <c r="T2" s="250"/>
      <c r="U2" s="250"/>
      <c r="V2" s="250"/>
      <c r="AT2" s="15" t="s">
        <v>88</v>
      </c>
    </row>
    <row r="3" spans="2:46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81</v>
      </c>
    </row>
    <row r="4" spans="2:46" ht="24.95" customHeight="1">
      <c r="B4" s="18"/>
      <c r="D4" s="19" t="s">
        <v>89</v>
      </c>
      <c r="L4" s="18"/>
      <c r="M4" s="83" t="s">
        <v>10</v>
      </c>
      <c r="AT4" s="15" t="s">
        <v>3</v>
      </c>
    </row>
    <row r="5" spans="2:46" ht="6.95" customHeight="1">
      <c r="B5" s="18"/>
      <c r="L5" s="18"/>
    </row>
    <row r="6" spans="2:46" ht="12" customHeight="1">
      <c r="B6" s="18"/>
      <c r="D6" s="24" t="s">
        <v>14</v>
      </c>
      <c r="L6" s="18"/>
    </row>
    <row r="7" spans="2:46" ht="16.5" customHeight="1">
      <c r="B7" s="18"/>
      <c r="E7" s="283" t="str">
        <f>'Rekapitulace stavby'!K6</f>
        <v>Komunitní sociální služby DOZP</v>
      </c>
      <c r="F7" s="284"/>
      <c r="G7" s="284"/>
      <c r="H7" s="284"/>
      <c r="L7" s="18"/>
    </row>
    <row r="8" spans="2:46" s="1" customFormat="1" ht="12" customHeight="1">
      <c r="B8" s="27"/>
      <c r="D8" s="24" t="s">
        <v>90</v>
      </c>
      <c r="L8" s="27"/>
    </row>
    <row r="9" spans="2:46" s="1" customFormat="1" ht="16.5" customHeight="1">
      <c r="B9" s="27"/>
      <c r="E9" s="270" t="s">
        <v>1176</v>
      </c>
      <c r="F9" s="285"/>
      <c r="G9" s="285"/>
      <c r="H9" s="285"/>
      <c r="L9" s="27"/>
    </row>
    <row r="10" spans="2:46" s="1" customFormat="1">
      <c r="B10" s="27"/>
      <c r="L10" s="27"/>
    </row>
    <row r="11" spans="2:46" s="1" customFormat="1" ht="12" customHeight="1">
      <c r="B11" s="27"/>
      <c r="D11" s="24" t="s">
        <v>16</v>
      </c>
      <c r="F11" s="22" t="s">
        <v>1</v>
      </c>
      <c r="I11" s="24" t="s">
        <v>17</v>
      </c>
      <c r="J11" s="22" t="s">
        <v>1</v>
      </c>
      <c r="L11" s="27"/>
    </row>
    <row r="12" spans="2:46" s="1" customFormat="1" ht="12" customHeight="1">
      <c r="B12" s="27"/>
      <c r="D12" s="24" t="s">
        <v>18</v>
      </c>
      <c r="F12" s="22" t="s">
        <v>19</v>
      </c>
      <c r="I12" s="24" t="s">
        <v>20</v>
      </c>
      <c r="J12" s="47">
        <f>'Rekapitulace stavby'!AN8</f>
        <v>44910</v>
      </c>
      <c r="L12" s="27"/>
    </row>
    <row r="13" spans="2:46" s="1" customFormat="1" ht="10.9" customHeight="1">
      <c r="B13" s="27"/>
      <c r="L13" s="27"/>
    </row>
    <row r="14" spans="2:46" s="1" customFormat="1" ht="12" customHeight="1">
      <c r="B14" s="27"/>
      <c r="D14" s="24" t="s">
        <v>21</v>
      </c>
      <c r="I14" s="24" t="s">
        <v>22</v>
      </c>
      <c r="J14" s="22" t="s">
        <v>1</v>
      </c>
      <c r="L14" s="27"/>
    </row>
    <row r="15" spans="2:46" s="1" customFormat="1" ht="18" customHeight="1">
      <c r="B15" s="27"/>
      <c r="E15" s="22" t="s">
        <v>23</v>
      </c>
      <c r="I15" s="24" t="s">
        <v>24</v>
      </c>
      <c r="J15" s="22" t="s">
        <v>1</v>
      </c>
      <c r="L15" s="27"/>
    </row>
    <row r="16" spans="2:46" s="1" customFormat="1" ht="6.95" customHeight="1">
      <c r="B16" s="27"/>
      <c r="L16" s="27"/>
    </row>
    <row r="17" spans="2:12" s="1" customFormat="1" ht="12" customHeight="1">
      <c r="B17" s="27"/>
      <c r="D17" s="24" t="s">
        <v>25</v>
      </c>
      <c r="I17" s="24" t="s">
        <v>22</v>
      </c>
      <c r="J17" s="22" t="s">
        <v>1</v>
      </c>
      <c r="L17" s="27"/>
    </row>
    <row r="18" spans="2:12" s="1" customFormat="1" ht="18" customHeight="1">
      <c r="B18" s="27"/>
      <c r="E18" s="22" t="s">
        <v>26</v>
      </c>
      <c r="I18" s="24" t="s">
        <v>24</v>
      </c>
      <c r="J18" s="22" t="s">
        <v>1</v>
      </c>
      <c r="L18" s="27"/>
    </row>
    <row r="19" spans="2:12" s="1" customFormat="1" ht="6.95" customHeight="1">
      <c r="B19" s="27"/>
      <c r="L19" s="27"/>
    </row>
    <row r="20" spans="2:12" s="1" customFormat="1" ht="12" customHeight="1">
      <c r="B20" s="27"/>
      <c r="D20" s="24" t="s">
        <v>27</v>
      </c>
      <c r="I20" s="24" t="s">
        <v>22</v>
      </c>
      <c r="J20" s="22" t="s">
        <v>1</v>
      </c>
      <c r="L20" s="27"/>
    </row>
    <row r="21" spans="2:12" s="1" customFormat="1" ht="18" customHeight="1">
      <c r="B21" s="27"/>
      <c r="E21" s="22" t="s">
        <v>28</v>
      </c>
      <c r="I21" s="24" t="s">
        <v>24</v>
      </c>
      <c r="J21" s="22" t="s">
        <v>1</v>
      </c>
      <c r="L21" s="27"/>
    </row>
    <row r="22" spans="2:12" s="1" customFormat="1" ht="6.95" customHeight="1">
      <c r="B22" s="27"/>
      <c r="L22" s="27"/>
    </row>
    <row r="23" spans="2:12" s="1" customFormat="1" ht="12" customHeight="1">
      <c r="B23" s="27"/>
      <c r="D23" s="24" t="s">
        <v>30</v>
      </c>
      <c r="I23" s="24" t="s">
        <v>22</v>
      </c>
      <c r="J23" s="22" t="s">
        <v>1</v>
      </c>
      <c r="L23" s="27"/>
    </row>
    <row r="24" spans="2:12" s="1" customFormat="1" ht="18" customHeight="1">
      <c r="B24" s="27"/>
      <c r="E24" s="22" t="s">
        <v>31</v>
      </c>
      <c r="I24" s="24" t="s">
        <v>24</v>
      </c>
      <c r="J24" s="22" t="s">
        <v>1</v>
      </c>
      <c r="L24" s="27"/>
    </row>
    <row r="25" spans="2:12" s="1" customFormat="1" ht="6.95" customHeight="1">
      <c r="B25" s="27"/>
      <c r="L25" s="27"/>
    </row>
    <row r="26" spans="2:12" s="1" customFormat="1" ht="12" customHeight="1">
      <c r="B26" s="27"/>
      <c r="D26" s="24" t="s">
        <v>32</v>
      </c>
      <c r="L26" s="27"/>
    </row>
    <row r="27" spans="2:12" s="7" customFormat="1" ht="16.5" customHeight="1">
      <c r="B27" s="84"/>
      <c r="E27" s="252" t="s">
        <v>1</v>
      </c>
      <c r="F27" s="252"/>
      <c r="G27" s="252"/>
      <c r="H27" s="252"/>
      <c r="L27" s="84"/>
    </row>
    <row r="28" spans="2:12" s="1" customFormat="1" ht="6.95" customHeight="1">
      <c r="B28" s="27"/>
      <c r="L28" s="27"/>
    </row>
    <row r="29" spans="2:12" s="1" customFormat="1" ht="6.95" customHeight="1">
      <c r="B29" s="27"/>
      <c r="D29" s="48"/>
      <c r="E29" s="48"/>
      <c r="F29" s="48"/>
      <c r="G29" s="48"/>
      <c r="H29" s="48"/>
      <c r="I29" s="48"/>
      <c r="J29" s="48"/>
      <c r="K29" s="48"/>
      <c r="L29" s="27"/>
    </row>
    <row r="30" spans="2:12" s="1" customFormat="1" ht="25.35" customHeight="1">
      <c r="B30" s="27"/>
      <c r="D30" s="85" t="s">
        <v>33</v>
      </c>
      <c r="J30" s="61">
        <f>ROUND(J121, 2)</f>
        <v>5514750.4000000004</v>
      </c>
      <c r="L30" s="27"/>
    </row>
    <row r="31" spans="2:12" s="1" customFormat="1" ht="6.95" customHeight="1">
      <c r="B31" s="27"/>
      <c r="D31" s="48"/>
      <c r="E31" s="48"/>
      <c r="F31" s="48"/>
      <c r="G31" s="48"/>
      <c r="H31" s="48"/>
      <c r="I31" s="48"/>
      <c r="J31" s="48"/>
      <c r="K31" s="48"/>
      <c r="L31" s="27"/>
    </row>
    <row r="32" spans="2:12" s="1" customFormat="1" ht="14.45" customHeight="1">
      <c r="B32" s="27"/>
      <c r="F32" s="30" t="s">
        <v>35</v>
      </c>
      <c r="I32" s="30" t="s">
        <v>34</v>
      </c>
      <c r="J32" s="30" t="s">
        <v>36</v>
      </c>
      <c r="L32" s="27"/>
    </row>
    <row r="33" spans="2:12" s="1" customFormat="1" ht="14.45" customHeight="1">
      <c r="B33" s="27"/>
      <c r="D33" s="50" t="s">
        <v>37</v>
      </c>
      <c r="E33" s="24" t="s">
        <v>38</v>
      </c>
      <c r="F33" s="86">
        <f>ROUND((SUM(BE121:BE161)),  2)</f>
        <v>0</v>
      </c>
      <c r="I33" s="87">
        <v>0.21</v>
      </c>
      <c r="J33" s="86">
        <f>ROUND(((SUM(BE121:BE161))*I33),  2)</f>
        <v>0</v>
      </c>
      <c r="L33" s="27"/>
    </row>
    <row r="34" spans="2:12" s="1" customFormat="1" ht="14.45" customHeight="1">
      <c r="B34" s="27"/>
      <c r="E34" s="24" t="s">
        <v>39</v>
      </c>
      <c r="F34" s="86">
        <f>ROUND((SUM(BF121:BF161)),  2)</f>
        <v>5514750.4000000004</v>
      </c>
      <c r="I34" s="87">
        <v>0.15</v>
      </c>
      <c r="J34" s="86">
        <f>ROUND(((SUM(BF121:BF161))*I34),  2)</f>
        <v>827212.56</v>
      </c>
      <c r="L34" s="27"/>
    </row>
    <row r="35" spans="2:12" s="1" customFormat="1" ht="14.45" hidden="1" customHeight="1">
      <c r="B35" s="27"/>
      <c r="E35" s="24" t="s">
        <v>40</v>
      </c>
      <c r="F35" s="86">
        <f>ROUND((SUM(BG121:BG161)),  2)</f>
        <v>0</v>
      </c>
      <c r="I35" s="87">
        <v>0.21</v>
      </c>
      <c r="J35" s="86">
        <f>0</f>
        <v>0</v>
      </c>
      <c r="L35" s="27"/>
    </row>
    <row r="36" spans="2:12" s="1" customFormat="1" ht="14.45" hidden="1" customHeight="1">
      <c r="B36" s="27"/>
      <c r="E36" s="24" t="s">
        <v>41</v>
      </c>
      <c r="F36" s="86">
        <f>ROUND((SUM(BH121:BH161)),  2)</f>
        <v>0</v>
      </c>
      <c r="I36" s="87">
        <v>0.15</v>
      </c>
      <c r="J36" s="86">
        <f>0</f>
        <v>0</v>
      </c>
      <c r="L36" s="27"/>
    </row>
    <row r="37" spans="2:12" s="1" customFormat="1" ht="14.45" hidden="1" customHeight="1">
      <c r="B37" s="27"/>
      <c r="E37" s="24" t="s">
        <v>42</v>
      </c>
      <c r="F37" s="86">
        <f>ROUND((SUM(BI121:BI161)),  2)</f>
        <v>0</v>
      </c>
      <c r="I37" s="87">
        <v>0</v>
      </c>
      <c r="J37" s="86">
        <f>0</f>
        <v>0</v>
      </c>
      <c r="L37" s="27"/>
    </row>
    <row r="38" spans="2:12" s="1" customFormat="1" ht="6.95" customHeight="1">
      <c r="B38" s="27"/>
      <c r="L38" s="27"/>
    </row>
    <row r="39" spans="2:12" s="1" customFormat="1" ht="25.35" customHeight="1">
      <c r="B39" s="27"/>
      <c r="C39" s="88"/>
      <c r="D39" s="89" t="s">
        <v>43</v>
      </c>
      <c r="E39" s="52"/>
      <c r="F39" s="52"/>
      <c r="G39" s="90" t="s">
        <v>44</v>
      </c>
      <c r="H39" s="91" t="s">
        <v>45</v>
      </c>
      <c r="I39" s="52"/>
      <c r="J39" s="92">
        <f>SUM(J30:J37)</f>
        <v>6341962.9600000009</v>
      </c>
      <c r="K39" s="93"/>
      <c r="L39" s="27"/>
    </row>
    <row r="40" spans="2:12" s="1" customFormat="1" ht="14.45" customHeight="1">
      <c r="B40" s="27"/>
      <c r="L40" s="27"/>
    </row>
    <row r="41" spans="2:12" ht="14.45" customHeight="1">
      <c r="B41" s="18"/>
      <c r="L41" s="18"/>
    </row>
    <row r="42" spans="2:12" ht="14.45" customHeight="1">
      <c r="B42" s="18"/>
      <c r="L42" s="18"/>
    </row>
    <row r="43" spans="2:12" ht="14.45" customHeight="1">
      <c r="B43" s="18"/>
      <c r="L43" s="18"/>
    </row>
    <row r="44" spans="2:12" ht="14.45" customHeight="1">
      <c r="B44" s="18"/>
      <c r="L44" s="18"/>
    </row>
    <row r="45" spans="2:12" ht="14.45" customHeight="1">
      <c r="B45" s="18"/>
      <c r="L45" s="18"/>
    </row>
    <row r="46" spans="2:12" ht="14.45" customHeight="1">
      <c r="B46" s="18"/>
      <c r="L46" s="18"/>
    </row>
    <row r="47" spans="2:12" ht="14.45" customHeight="1">
      <c r="B47" s="18"/>
      <c r="L47" s="18"/>
    </row>
    <row r="48" spans="2:12" ht="14.45" customHeight="1">
      <c r="B48" s="18"/>
      <c r="L48" s="18"/>
    </row>
    <row r="49" spans="2:12" ht="14.45" customHeight="1">
      <c r="B49" s="18"/>
      <c r="L49" s="18"/>
    </row>
    <row r="50" spans="2:12" s="1" customFormat="1" ht="14.45" customHeight="1">
      <c r="B50" s="27"/>
      <c r="D50" s="36" t="s">
        <v>46</v>
      </c>
      <c r="E50" s="37"/>
      <c r="F50" s="37"/>
      <c r="G50" s="36" t="s">
        <v>47</v>
      </c>
      <c r="H50" s="37"/>
      <c r="I50" s="37"/>
      <c r="J50" s="37"/>
      <c r="K50" s="37"/>
      <c r="L50" s="27"/>
    </row>
    <row r="51" spans="2:12">
      <c r="B51" s="18"/>
      <c r="L51" s="18"/>
    </row>
    <row r="52" spans="2:12">
      <c r="B52" s="18"/>
      <c r="L52" s="18"/>
    </row>
    <row r="53" spans="2:12">
      <c r="B53" s="18"/>
      <c r="L53" s="18"/>
    </row>
    <row r="54" spans="2:12">
      <c r="B54" s="18"/>
      <c r="L54" s="18"/>
    </row>
    <row r="55" spans="2:12">
      <c r="B55" s="18"/>
      <c r="L55" s="18"/>
    </row>
    <row r="56" spans="2:12">
      <c r="B56" s="18"/>
      <c r="L56" s="18"/>
    </row>
    <row r="57" spans="2:12">
      <c r="B57" s="18"/>
      <c r="L57" s="18"/>
    </row>
    <row r="58" spans="2:12">
      <c r="B58" s="18"/>
      <c r="L58" s="18"/>
    </row>
    <row r="59" spans="2:12">
      <c r="B59" s="18"/>
      <c r="L59" s="18"/>
    </row>
    <row r="60" spans="2:12">
      <c r="B60" s="18"/>
      <c r="L60" s="18"/>
    </row>
    <row r="61" spans="2:12" s="1" customFormat="1" ht="12.75">
      <c r="B61" s="27"/>
      <c r="D61" s="38" t="s">
        <v>48</v>
      </c>
      <c r="E61" s="29"/>
      <c r="F61" s="94" t="s">
        <v>49</v>
      </c>
      <c r="G61" s="38" t="s">
        <v>48</v>
      </c>
      <c r="H61" s="29"/>
      <c r="I61" s="29"/>
      <c r="J61" s="95" t="s">
        <v>49</v>
      </c>
      <c r="K61" s="29"/>
      <c r="L61" s="27"/>
    </row>
    <row r="62" spans="2:12">
      <c r="B62" s="18"/>
      <c r="L62" s="18"/>
    </row>
    <row r="63" spans="2:12">
      <c r="B63" s="18"/>
      <c r="L63" s="18"/>
    </row>
    <row r="64" spans="2:12">
      <c r="B64" s="18"/>
      <c r="L64" s="18"/>
    </row>
    <row r="65" spans="2:12" s="1" customFormat="1" ht="12.75">
      <c r="B65" s="27"/>
      <c r="D65" s="36" t="s">
        <v>50</v>
      </c>
      <c r="E65" s="37"/>
      <c r="F65" s="37"/>
      <c r="G65" s="36" t="s">
        <v>51</v>
      </c>
      <c r="H65" s="37"/>
      <c r="I65" s="37"/>
      <c r="J65" s="37"/>
      <c r="K65" s="37"/>
      <c r="L65" s="27"/>
    </row>
    <row r="66" spans="2:12">
      <c r="B66" s="18"/>
      <c r="L66" s="18"/>
    </row>
    <row r="67" spans="2:12">
      <c r="B67" s="18"/>
      <c r="L67" s="18"/>
    </row>
    <row r="68" spans="2:12">
      <c r="B68" s="18"/>
      <c r="L68" s="18"/>
    </row>
    <row r="69" spans="2:12">
      <c r="B69" s="18"/>
      <c r="L69" s="18"/>
    </row>
    <row r="70" spans="2:12">
      <c r="B70" s="18"/>
      <c r="L70" s="18"/>
    </row>
    <row r="71" spans="2:12">
      <c r="B71" s="18"/>
      <c r="L71" s="18"/>
    </row>
    <row r="72" spans="2:12">
      <c r="B72" s="18"/>
      <c r="L72" s="18"/>
    </row>
    <row r="73" spans="2:12">
      <c r="B73" s="18"/>
      <c r="L73" s="18"/>
    </row>
    <row r="74" spans="2:12">
      <c r="B74" s="18"/>
      <c r="L74" s="18"/>
    </row>
    <row r="75" spans="2:12">
      <c r="B75" s="18"/>
      <c r="L75" s="18"/>
    </row>
    <row r="76" spans="2:12" s="1" customFormat="1" ht="12.75">
      <c r="B76" s="27"/>
      <c r="D76" s="38" t="s">
        <v>48</v>
      </c>
      <c r="E76" s="29"/>
      <c r="F76" s="94" t="s">
        <v>49</v>
      </c>
      <c r="G76" s="38" t="s">
        <v>48</v>
      </c>
      <c r="H76" s="29"/>
      <c r="I76" s="29"/>
      <c r="J76" s="95" t="s">
        <v>49</v>
      </c>
      <c r="K76" s="29"/>
      <c r="L76" s="27"/>
    </row>
    <row r="77" spans="2:12" s="1" customFormat="1" ht="14.45" customHeight="1"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27"/>
    </row>
    <row r="81" spans="2:47" s="1" customFormat="1" ht="6.95" customHeight="1"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27"/>
    </row>
    <row r="82" spans="2:47" s="1" customFormat="1" ht="24.95" customHeight="1">
      <c r="B82" s="27"/>
      <c r="C82" s="19" t="s">
        <v>92</v>
      </c>
      <c r="L82" s="27"/>
    </row>
    <row r="83" spans="2:47" s="1" customFormat="1" ht="6.95" customHeight="1">
      <c r="B83" s="27"/>
      <c r="L83" s="27"/>
    </row>
    <row r="84" spans="2:47" s="1" customFormat="1" ht="12" customHeight="1">
      <c r="B84" s="27"/>
      <c r="C84" s="24" t="s">
        <v>14</v>
      </c>
      <c r="L84" s="27"/>
    </row>
    <row r="85" spans="2:47" s="1" customFormat="1" ht="16.5" customHeight="1">
      <c r="B85" s="27"/>
      <c r="E85" s="283" t="str">
        <f>E7</f>
        <v>Komunitní sociální služby DOZP</v>
      </c>
      <c r="F85" s="284"/>
      <c r="G85" s="284"/>
      <c r="H85" s="284"/>
      <c r="L85" s="27"/>
    </row>
    <row r="86" spans="2:47" s="1" customFormat="1" ht="12" customHeight="1">
      <c r="B86" s="27"/>
      <c r="C86" s="24" t="s">
        <v>90</v>
      </c>
      <c r="L86" s="27"/>
    </row>
    <row r="87" spans="2:47" s="1" customFormat="1" ht="16.5" customHeight="1">
      <c r="B87" s="27"/>
      <c r="E87" s="270" t="str">
        <f>E9</f>
        <v>JC-C - SO-03-Zpevněné plochy</v>
      </c>
      <c r="F87" s="285"/>
      <c r="G87" s="285"/>
      <c r="H87" s="285"/>
      <c r="L87" s="27"/>
    </row>
    <row r="88" spans="2:47" s="1" customFormat="1" ht="6.95" customHeight="1">
      <c r="B88" s="27"/>
      <c r="L88" s="27"/>
    </row>
    <row r="89" spans="2:47" s="1" customFormat="1" ht="12" customHeight="1">
      <c r="B89" s="27"/>
      <c r="C89" s="24" t="s">
        <v>18</v>
      </c>
      <c r="F89" s="22" t="str">
        <f>F12</f>
        <v>Jičín parc. č.1628</v>
      </c>
      <c r="I89" s="24" t="s">
        <v>20</v>
      </c>
      <c r="J89" s="47">
        <f>IF(J12="","",J12)</f>
        <v>44910</v>
      </c>
      <c r="L89" s="27"/>
    </row>
    <row r="90" spans="2:47" s="1" customFormat="1" ht="6.95" customHeight="1">
      <c r="B90" s="27"/>
      <c r="L90" s="27"/>
    </row>
    <row r="91" spans="2:47" s="1" customFormat="1" ht="15.2" customHeight="1">
      <c r="B91" s="27"/>
      <c r="C91" s="24" t="s">
        <v>21</v>
      </c>
      <c r="F91" s="22" t="str">
        <f>E15</f>
        <v>Královéhradecký kraj</v>
      </c>
      <c r="I91" s="24" t="s">
        <v>27</v>
      </c>
      <c r="J91" s="25" t="str">
        <f>E21</f>
        <v>Ing.arch. Kušnierik</v>
      </c>
      <c r="L91" s="27"/>
    </row>
    <row r="92" spans="2:47" s="1" customFormat="1" ht="15.2" customHeight="1">
      <c r="B92" s="27"/>
      <c r="C92" s="24" t="s">
        <v>25</v>
      </c>
      <c r="F92" s="22" t="str">
        <f>IF(E18="","",E18)</f>
        <v>bude určen ve výběrovém řízení</v>
      </c>
      <c r="I92" s="24" t="s">
        <v>30</v>
      </c>
      <c r="J92" s="25" t="str">
        <f>E24</f>
        <v>Ing.Pavel Michálek</v>
      </c>
      <c r="L92" s="27"/>
    </row>
    <row r="93" spans="2:47" s="1" customFormat="1" ht="10.35" customHeight="1">
      <c r="B93" s="27"/>
      <c r="L93" s="27"/>
    </row>
    <row r="94" spans="2:47" s="1" customFormat="1" ht="29.25" customHeight="1">
      <c r="B94" s="27"/>
      <c r="C94" s="96" t="s">
        <v>93</v>
      </c>
      <c r="D94" s="88"/>
      <c r="E94" s="88"/>
      <c r="F94" s="88"/>
      <c r="G94" s="88"/>
      <c r="H94" s="88"/>
      <c r="I94" s="88"/>
      <c r="J94" s="97" t="s">
        <v>94</v>
      </c>
      <c r="K94" s="88"/>
      <c r="L94" s="27"/>
    </row>
    <row r="95" spans="2:47" s="1" customFormat="1" ht="10.35" customHeight="1">
      <c r="B95" s="27"/>
      <c r="L95" s="27"/>
    </row>
    <row r="96" spans="2:47" s="1" customFormat="1" ht="22.9" customHeight="1">
      <c r="B96" s="27"/>
      <c r="C96" s="98" t="s">
        <v>95</v>
      </c>
      <c r="J96" s="61">
        <f>J121</f>
        <v>5514750.4000000004</v>
      </c>
      <c r="L96" s="27"/>
      <c r="AU96" s="15" t="s">
        <v>96</v>
      </c>
    </row>
    <row r="97" spans="2:12" s="8" customFormat="1" ht="24.95" customHeight="1">
      <c r="B97" s="99"/>
      <c r="D97" s="100" t="s">
        <v>97</v>
      </c>
      <c r="E97" s="101"/>
      <c r="F97" s="101"/>
      <c r="G97" s="101"/>
      <c r="H97" s="101"/>
      <c r="I97" s="101"/>
      <c r="J97" s="102">
        <f>J122</f>
        <v>5514750.4000000004</v>
      </c>
      <c r="L97" s="99"/>
    </row>
    <row r="98" spans="2:12" s="9" customFormat="1" ht="19.899999999999999" customHeight="1">
      <c r="B98" s="103"/>
      <c r="D98" s="104" t="s">
        <v>98</v>
      </c>
      <c r="E98" s="105"/>
      <c r="F98" s="105"/>
      <c r="G98" s="105"/>
      <c r="H98" s="105"/>
      <c r="I98" s="105"/>
      <c r="J98" s="106">
        <f>J123</f>
        <v>1966680</v>
      </c>
      <c r="L98" s="103"/>
    </row>
    <row r="99" spans="2:12" s="9" customFormat="1" ht="19.899999999999999" customHeight="1">
      <c r="B99" s="103"/>
      <c r="D99" s="104" t="s">
        <v>99</v>
      </c>
      <c r="E99" s="105"/>
      <c r="F99" s="105"/>
      <c r="G99" s="105"/>
      <c r="H99" s="105"/>
      <c r="I99" s="105"/>
      <c r="J99" s="106">
        <f>J130</f>
        <v>98340</v>
      </c>
      <c r="L99" s="103"/>
    </row>
    <row r="100" spans="2:12" s="9" customFormat="1" ht="19.899999999999999" customHeight="1">
      <c r="B100" s="103"/>
      <c r="D100" s="104" t="s">
        <v>102</v>
      </c>
      <c r="E100" s="105"/>
      <c r="F100" s="105"/>
      <c r="G100" s="105"/>
      <c r="H100" s="105"/>
      <c r="I100" s="105"/>
      <c r="J100" s="106">
        <f>J132</f>
        <v>20580</v>
      </c>
      <c r="L100" s="103"/>
    </row>
    <row r="101" spans="2:12" s="9" customFormat="1" ht="19.899999999999999" customHeight="1">
      <c r="B101" s="103"/>
      <c r="D101" s="104" t="s">
        <v>103</v>
      </c>
      <c r="E101" s="105"/>
      <c r="F101" s="105"/>
      <c r="G101" s="105"/>
      <c r="H101" s="105"/>
      <c r="I101" s="105"/>
      <c r="J101" s="106">
        <f>J134</f>
        <v>3429150.4000000004</v>
      </c>
      <c r="L101" s="103"/>
    </row>
    <row r="102" spans="2:12" s="1" customFormat="1" ht="21.75" customHeight="1">
      <c r="B102" s="27"/>
      <c r="L102" s="27"/>
    </row>
    <row r="103" spans="2:12" s="1" customFormat="1" ht="6.95" customHeight="1">
      <c r="B103" s="39"/>
      <c r="C103" s="40"/>
      <c r="D103" s="40"/>
      <c r="E103" s="40"/>
      <c r="F103" s="40"/>
      <c r="G103" s="40"/>
      <c r="H103" s="40"/>
      <c r="I103" s="40"/>
      <c r="J103" s="40"/>
      <c r="K103" s="40"/>
      <c r="L103" s="27"/>
    </row>
    <row r="107" spans="2:12" s="1" customFormat="1" ht="6.95" customHeight="1">
      <c r="B107" s="41"/>
      <c r="C107" s="42"/>
      <c r="D107" s="42"/>
      <c r="E107" s="42"/>
      <c r="F107" s="42"/>
      <c r="G107" s="42"/>
      <c r="H107" s="42"/>
      <c r="I107" s="42"/>
      <c r="J107" s="42"/>
      <c r="K107" s="42"/>
      <c r="L107" s="27"/>
    </row>
    <row r="108" spans="2:12" s="1" customFormat="1" ht="24.95" customHeight="1">
      <c r="B108" s="27"/>
      <c r="C108" s="19" t="s">
        <v>126</v>
      </c>
      <c r="L108" s="27"/>
    </row>
    <row r="109" spans="2:12" s="1" customFormat="1" ht="6.95" customHeight="1">
      <c r="B109" s="27"/>
      <c r="L109" s="27"/>
    </row>
    <row r="110" spans="2:12" s="1" customFormat="1" ht="12" customHeight="1">
      <c r="B110" s="27"/>
      <c r="C110" s="24" t="s">
        <v>14</v>
      </c>
      <c r="L110" s="27"/>
    </row>
    <row r="111" spans="2:12" s="1" customFormat="1" ht="16.5" customHeight="1">
      <c r="B111" s="27"/>
      <c r="E111" s="283" t="str">
        <f>E7</f>
        <v>Komunitní sociální služby DOZP</v>
      </c>
      <c r="F111" s="284"/>
      <c r="G111" s="284"/>
      <c r="H111" s="284"/>
      <c r="L111" s="27"/>
    </row>
    <row r="112" spans="2:12" s="1" customFormat="1" ht="12" customHeight="1">
      <c r="B112" s="27"/>
      <c r="C112" s="24" t="s">
        <v>90</v>
      </c>
      <c r="L112" s="27"/>
    </row>
    <row r="113" spans="2:65" s="1" customFormat="1" ht="16.5" customHeight="1">
      <c r="B113" s="27"/>
      <c r="E113" s="270" t="str">
        <f>E9</f>
        <v>JC-C - SO-03-Zpevněné plochy</v>
      </c>
      <c r="F113" s="285"/>
      <c r="G113" s="285"/>
      <c r="H113" s="285"/>
      <c r="L113" s="27"/>
    </row>
    <row r="114" spans="2:65" s="1" customFormat="1" ht="6.95" customHeight="1">
      <c r="B114" s="27"/>
      <c r="L114" s="27"/>
    </row>
    <row r="115" spans="2:65" s="1" customFormat="1" ht="12" customHeight="1">
      <c r="B115" s="27"/>
      <c r="C115" s="24" t="s">
        <v>18</v>
      </c>
      <c r="F115" s="22" t="str">
        <f>F12</f>
        <v>Jičín parc. č.1628</v>
      </c>
      <c r="I115" s="24" t="s">
        <v>20</v>
      </c>
      <c r="J115" s="47">
        <f>IF(J12="","",J12)</f>
        <v>44910</v>
      </c>
      <c r="L115" s="27"/>
    </row>
    <row r="116" spans="2:65" s="1" customFormat="1" ht="6.95" customHeight="1">
      <c r="B116" s="27"/>
      <c r="L116" s="27"/>
    </row>
    <row r="117" spans="2:65" s="1" customFormat="1" ht="15.2" customHeight="1">
      <c r="B117" s="27"/>
      <c r="C117" s="24" t="s">
        <v>21</v>
      </c>
      <c r="F117" s="22" t="str">
        <f>E15</f>
        <v>Královéhradecký kraj</v>
      </c>
      <c r="I117" s="24" t="s">
        <v>27</v>
      </c>
      <c r="J117" s="25" t="str">
        <f>E21</f>
        <v>Ing.arch. Kušnierik</v>
      </c>
      <c r="L117" s="27"/>
    </row>
    <row r="118" spans="2:65" s="1" customFormat="1" ht="15.2" customHeight="1">
      <c r="B118" s="27"/>
      <c r="C118" s="24" t="s">
        <v>25</v>
      </c>
      <c r="F118" s="22" t="str">
        <f>IF(E18="","",E18)</f>
        <v>bude určen ve výběrovém řízení</v>
      </c>
      <c r="I118" s="24" t="s">
        <v>30</v>
      </c>
      <c r="J118" s="25" t="str">
        <f>E24</f>
        <v>Ing.Pavel Michálek</v>
      </c>
      <c r="L118" s="27"/>
    </row>
    <row r="119" spans="2:65" s="1" customFormat="1" ht="10.35" customHeight="1">
      <c r="B119" s="27"/>
      <c r="L119" s="27"/>
    </row>
    <row r="120" spans="2:65" s="10" customFormat="1" ht="29.25" customHeight="1">
      <c r="B120" s="107"/>
      <c r="C120" s="108" t="s">
        <v>127</v>
      </c>
      <c r="D120" s="109" t="s">
        <v>58</v>
      </c>
      <c r="E120" s="109" t="s">
        <v>54</v>
      </c>
      <c r="F120" s="109" t="s">
        <v>55</v>
      </c>
      <c r="G120" s="109" t="s">
        <v>128</v>
      </c>
      <c r="H120" s="109" t="s">
        <v>129</v>
      </c>
      <c r="I120" s="109" t="s">
        <v>130</v>
      </c>
      <c r="J120" s="109" t="s">
        <v>94</v>
      </c>
      <c r="K120" s="110" t="s">
        <v>131</v>
      </c>
      <c r="L120" s="107"/>
      <c r="M120" s="54" t="s">
        <v>1</v>
      </c>
      <c r="N120" s="55" t="s">
        <v>37</v>
      </c>
      <c r="O120" s="55" t="s">
        <v>132</v>
      </c>
      <c r="P120" s="55" t="s">
        <v>133</v>
      </c>
      <c r="Q120" s="55" t="s">
        <v>134</v>
      </c>
      <c r="R120" s="55" t="s">
        <v>135</v>
      </c>
      <c r="S120" s="55" t="s">
        <v>136</v>
      </c>
      <c r="T120" s="56" t="s">
        <v>137</v>
      </c>
    </row>
    <row r="121" spans="2:65" s="1" customFormat="1" ht="22.9" customHeight="1">
      <c r="B121" s="27"/>
      <c r="C121" s="59" t="s">
        <v>138</v>
      </c>
      <c r="J121" s="111">
        <f>BK121</f>
        <v>5514750.4000000004</v>
      </c>
      <c r="L121" s="27"/>
      <c r="M121" s="57"/>
      <c r="N121" s="48"/>
      <c r="O121" s="48"/>
      <c r="P121" s="112">
        <f>P122</f>
        <v>753.25</v>
      </c>
      <c r="Q121" s="48"/>
      <c r="R121" s="112">
        <f>R122</f>
        <v>207.40834000000001</v>
      </c>
      <c r="S121" s="48"/>
      <c r="T121" s="113">
        <f>T122</f>
        <v>0</v>
      </c>
      <c r="AT121" s="15" t="s">
        <v>72</v>
      </c>
      <c r="AU121" s="15" t="s">
        <v>96</v>
      </c>
      <c r="BK121" s="114">
        <f>BK122</f>
        <v>5514750.4000000004</v>
      </c>
    </row>
    <row r="122" spans="2:65" s="11" customFormat="1" ht="25.9" customHeight="1">
      <c r="B122" s="115"/>
      <c r="D122" s="116" t="s">
        <v>72</v>
      </c>
      <c r="E122" s="117" t="s">
        <v>139</v>
      </c>
      <c r="F122" s="117" t="s">
        <v>140</v>
      </c>
      <c r="J122" s="118">
        <f>BK122</f>
        <v>5514750.4000000004</v>
      </c>
      <c r="L122" s="115"/>
      <c r="M122" s="119"/>
      <c r="P122" s="120">
        <f>P123+P130+P132+P134</f>
        <v>753.25</v>
      </c>
      <c r="R122" s="120">
        <f>R123+R130+R132+R134</f>
        <v>207.40834000000001</v>
      </c>
      <c r="T122" s="121">
        <f>T123+T130+T132+T134</f>
        <v>0</v>
      </c>
      <c r="AR122" s="116" t="s">
        <v>81</v>
      </c>
      <c r="AT122" s="122" t="s">
        <v>72</v>
      </c>
      <c r="AU122" s="122" t="s">
        <v>73</v>
      </c>
      <c r="AY122" s="116" t="s">
        <v>141</v>
      </c>
      <c r="BK122" s="123">
        <f>BK123+BK130+BK132+BK134</f>
        <v>5514750.4000000004</v>
      </c>
    </row>
    <row r="123" spans="2:65" s="11" customFormat="1" ht="22.9" customHeight="1">
      <c r="B123" s="115"/>
      <c r="D123" s="116" t="s">
        <v>72</v>
      </c>
      <c r="E123" s="124" t="s">
        <v>81</v>
      </c>
      <c r="F123" s="124" t="s">
        <v>142</v>
      </c>
      <c r="J123" s="125">
        <f>BK123</f>
        <v>1966680</v>
      </c>
      <c r="L123" s="115"/>
      <c r="M123" s="119"/>
      <c r="P123" s="120">
        <f>SUM(P124:P129)</f>
        <v>304.79999999999995</v>
      </c>
      <c r="R123" s="120">
        <f>SUM(R124:R129)</f>
        <v>0</v>
      </c>
      <c r="T123" s="121">
        <f>SUM(T124:T129)</f>
        <v>0</v>
      </c>
      <c r="AR123" s="116" t="s">
        <v>81</v>
      </c>
      <c r="AT123" s="122" t="s">
        <v>72</v>
      </c>
      <c r="AU123" s="122" t="s">
        <v>81</v>
      </c>
      <c r="AY123" s="116" t="s">
        <v>141</v>
      </c>
      <c r="BK123" s="123">
        <f>SUM(BK124:BK129)</f>
        <v>1966680</v>
      </c>
    </row>
    <row r="124" spans="2:65" s="1" customFormat="1" ht="33" customHeight="1">
      <c r="B124" s="126"/>
      <c r="C124" s="127" t="s">
        <v>206</v>
      </c>
      <c r="D124" s="127" t="s">
        <v>144</v>
      </c>
      <c r="E124" s="128" t="s">
        <v>1177</v>
      </c>
      <c r="F124" s="129" t="s">
        <v>1178</v>
      </c>
      <c r="G124" s="130" t="s">
        <v>162</v>
      </c>
      <c r="H124" s="131">
        <v>1200</v>
      </c>
      <c r="I124" s="132">
        <v>100</v>
      </c>
      <c r="J124" s="132">
        <f>ROUND(I124*H124,2)</f>
        <v>120000</v>
      </c>
      <c r="K124" s="129" t="s">
        <v>148</v>
      </c>
      <c r="L124" s="27"/>
      <c r="M124" s="133" t="s">
        <v>1</v>
      </c>
      <c r="N124" s="134" t="s">
        <v>39</v>
      </c>
      <c r="O124" s="135">
        <v>8.5999999999999993E-2</v>
      </c>
      <c r="P124" s="135">
        <f>O124*H124</f>
        <v>103.19999999999999</v>
      </c>
      <c r="Q124" s="135">
        <v>0</v>
      </c>
      <c r="R124" s="135">
        <f>Q124*H124</f>
        <v>0</v>
      </c>
      <c r="S124" s="135">
        <v>0</v>
      </c>
      <c r="T124" s="136">
        <f>S124*H124</f>
        <v>0</v>
      </c>
      <c r="AR124" s="137" t="s">
        <v>149</v>
      </c>
      <c r="AT124" s="137" t="s">
        <v>144</v>
      </c>
      <c r="AU124" s="137" t="s">
        <v>143</v>
      </c>
      <c r="AY124" s="15" t="s">
        <v>141</v>
      </c>
      <c r="BE124" s="138">
        <f>IF(N124="základní",J124,0)</f>
        <v>0</v>
      </c>
      <c r="BF124" s="138">
        <f>IF(N124="snížená",J124,0)</f>
        <v>120000</v>
      </c>
      <c r="BG124" s="138">
        <f>IF(N124="zákl. přenesená",J124,0)</f>
        <v>0</v>
      </c>
      <c r="BH124" s="138">
        <f>IF(N124="sníž. přenesená",J124,0)</f>
        <v>0</v>
      </c>
      <c r="BI124" s="138">
        <f>IF(N124="nulová",J124,0)</f>
        <v>0</v>
      </c>
      <c r="BJ124" s="15" t="s">
        <v>143</v>
      </c>
      <c r="BK124" s="138">
        <f>ROUND(I124*H124,2)</f>
        <v>120000</v>
      </c>
      <c r="BL124" s="15" t="s">
        <v>149</v>
      </c>
      <c r="BM124" s="137" t="s">
        <v>1179</v>
      </c>
    </row>
    <row r="125" spans="2:65" s="1" customFormat="1" ht="37.9" customHeight="1">
      <c r="B125" s="126"/>
      <c r="C125" s="127" t="s">
        <v>211</v>
      </c>
      <c r="D125" s="127" t="s">
        <v>144</v>
      </c>
      <c r="E125" s="128" t="s">
        <v>169</v>
      </c>
      <c r="F125" s="129" t="s">
        <v>1180</v>
      </c>
      <c r="G125" s="130" t="s">
        <v>162</v>
      </c>
      <c r="H125" s="131">
        <v>1200</v>
      </c>
      <c r="I125" s="132">
        <v>298</v>
      </c>
      <c r="J125" s="132">
        <f>ROUND(I125*H125,2)</f>
        <v>357600</v>
      </c>
      <c r="K125" s="129" t="s">
        <v>148</v>
      </c>
      <c r="L125" s="27"/>
      <c r="M125" s="133" t="s">
        <v>1</v>
      </c>
      <c r="N125" s="134" t="s">
        <v>39</v>
      </c>
      <c r="O125" s="135">
        <v>8.6999999999999994E-2</v>
      </c>
      <c r="P125" s="135">
        <f>O125*H125</f>
        <v>104.39999999999999</v>
      </c>
      <c r="Q125" s="135">
        <v>0</v>
      </c>
      <c r="R125" s="135">
        <f>Q125*H125</f>
        <v>0</v>
      </c>
      <c r="S125" s="135">
        <v>0</v>
      </c>
      <c r="T125" s="136">
        <f>S125*H125</f>
        <v>0</v>
      </c>
      <c r="AR125" s="137" t="s">
        <v>149</v>
      </c>
      <c r="AT125" s="137" t="s">
        <v>144</v>
      </c>
      <c r="AU125" s="137" t="s">
        <v>143</v>
      </c>
      <c r="AY125" s="15" t="s">
        <v>141</v>
      </c>
      <c r="BE125" s="138">
        <f>IF(N125="základní",J125,0)</f>
        <v>0</v>
      </c>
      <c r="BF125" s="138">
        <f>IF(N125="snížená",J125,0)</f>
        <v>357600</v>
      </c>
      <c r="BG125" s="138">
        <f>IF(N125="zákl. přenesená",J125,0)</f>
        <v>0</v>
      </c>
      <c r="BH125" s="138">
        <f>IF(N125="sníž. přenesená",J125,0)</f>
        <v>0</v>
      </c>
      <c r="BI125" s="138">
        <f>IF(N125="nulová",J125,0)</f>
        <v>0</v>
      </c>
      <c r="BJ125" s="15" t="s">
        <v>143</v>
      </c>
      <c r="BK125" s="138">
        <f>ROUND(I125*H125,2)</f>
        <v>357600</v>
      </c>
      <c r="BL125" s="15" t="s">
        <v>149</v>
      </c>
      <c r="BM125" s="137" t="s">
        <v>1181</v>
      </c>
    </row>
    <row r="126" spans="2:65" s="1" customFormat="1" ht="24.2" customHeight="1">
      <c r="B126" s="126"/>
      <c r="C126" s="127" t="s">
        <v>215</v>
      </c>
      <c r="D126" s="127" t="s">
        <v>144</v>
      </c>
      <c r="E126" s="128" t="s">
        <v>173</v>
      </c>
      <c r="F126" s="129" t="s">
        <v>1182</v>
      </c>
      <c r="G126" s="130" t="s">
        <v>162</v>
      </c>
      <c r="H126" s="131">
        <v>1200</v>
      </c>
      <c r="I126" s="132">
        <v>50.2</v>
      </c>
      <c r="J126" s="132">
        <f>ROUND(I126*H126,2)</f>
        <v>60240</v>
      </c>
      <c r="K126" s="129" t="s">
        <v>148</v>
      </c>
      <c r="L126" s="27"/>
      <c r="M126" s="133" t="s">
        <v>1</v>
      </c>
      <c r="N126" s="134" t="s">
        <v>39</v>
      </c>
      <c r="O126" s="135">
        <v>7.1999999999999995E-2</v>
      </c>
      <c r="P126" s="135">
        <f>O126*H126</f>
        <v>86.399999999999991</v>
      </c>
      <c r="Q126" s="135">
        <v>0</v>
      </c>
      <c r="R126" s="135">
        <f>Q126*H126</f>
        <v>0</v>
      </c>
      <c r="S126" s="135">
        <v>0</v>
      </c>
      <c r="T126" s="136">
        <f>S126*H126</f>
        <v>0</v>
      </c>
      <c r="AR126" s="137" t="s">
        <v>149</v>
      </c>
      <c r="AT126" s="137" t="s">
        <v>144</v>
      </c>
      <c r="AU126" s="137" t="s">
        <v>143</v>
      </c>
      <c r="AY126" s="15" t="s">
        <v>141</v>
      </c>
      <c r="BE126" s="138">
        <f>IF(N126="základní",J126,0)</f>
        <v>0</v>
      </c>
      <c r="BF126" s="138">
        <f>IF(N126="snížená",J126,0)</f>
        <v>60240</v>
      </c>
      <c r="BG126" s="138">
        <f>IF(N126="zákl. přenesená",J126,0)</f>
        <v>0</v>
      </c>
      <c r="BH126" s="138">
        <f>IF(N126="sníž. přenesená",J126,0)</f>
        <v>0</v>
      </c>
      <c r="BI126" s="138">
        <f>IF(N126="nulová",J126,0)</f>
        <v>0</v>
      </c>
      <c r="BJ126" s="15" t="s">
        <v>143</v>
      </c>
      <c r="BK126" s="138">
        <f>ROUND(I126*H126,2)</f>
        <v>60240</v>
      </c>
      <c r="BL126" s="15" t="s">
        <v>149</v>
      </c>
      <c r="BM126" s="137" t="s">
        <v>1183</v>
      </c>
    </row>
    <row r="127" spans="2:65" s="1" customFormat="1" ht="24.2" customHeight="1">
      <c r="B127" s="126"/>
      <c r="C127" s="127" t="s">
        <v>221</v>
      </c>
      <c r="D127" s="127" t="s">
        <v>144</v>
      </c>
      <c r="E127" s="128" t="s">
        <v>177</v>
      </c>
      <c r="F127" s="129" t="s">
        <v>178</v>
      </c>
      <c r="G127" s="130" t="s">
        <v>179</v>
      </c>
      <c r="H127" s="131">
        <v>2160</v>
      </c>
      <c r="I127" s="132">
        <v>650</v>
      </c>
      <c r="J127" s="132">
        <f>ROUND(I127*H127,2)</f>
        <v>1404000</v>
      </c>
      <c r="K127" s="129" t="s">
        <v>148</v>
      </c>
      <c r="L127" s="27"/>
      <c r="M127" s="133" t="s">
        <v>1</v>
      </c>
      <c r="N127" s="134" t="s">
        <v>39</v>
      </c>
      <c r="O127" s="135">
        <v>0</v>
      </c>
      <c r="P127" s="135">
        <f>O127*H127</f>
        <v>0</v>
      </c>
      <c r="Q127" s="135">
        <v>0</v>
      </c>
      <c r="R127" s="135">
        <f>Q127*H127</f>
        <v>0</v>
      </c>
      <c r="S127" s="135">
        <v>0</v>
      </c>
      <c r="T127" s="136">
        <f>S127*H127</f>
        <v>0</v>
      </c>
      <c r="AR127" s="137" t="s">
        <v>149</v>
      </c>
      <c r="AT127" s="137" t="s">
        <v>144</v>
      </c>
      <c r="AU127" s="137" t="s">
        <v>143</v>
      </c>
      <c r="AY127" s="15" t="s">
        <v>141</v>
      </c>
      <c r="BE127" s="138">
        <f>IF(N127="základní",J127,0)</f>
        <v>0</v>
      </c>
      <c r="BF127" s="138">
        <f>IF(N127="snížená",J127,0)</f>
        <v>1404000</v>
      </c>
      <c r="BG127" s="138">
        <f>IF(N127="zákl. přenesená",J127,0)</f>
        <v>0</v>
      </c>
      <c r="BH127" s="138">
        <f>IF(N127="sníž. přenesená",J127,0)</f>
        <v>0</v>
      </c>
      <c r="BI127" s="138">
        <f>IF(N127="nulová",J127,0)</f>
        <v>0</v>
      </c>
      <c r="BJ127" s="15" t="s">
        <v>143</v>
      </c>
      <c r="BK127" s="138">
        <f>ROUND(I127*H127,2)</f>
        <v>1404000</v>
      </c>
      <c r="BL127" s="15" t="s">
        <v>149</v>
      </c>
      <c r="BM127" s="137" t="s">
        <v>1184</v>
      </c>
    </row>
    <row r="128" spans="2:65" s="12" customFormat="1">
      <c r="B128" s="148"/>
      <c r="D128" s="149" t="s">
        <v>363</v>
      </c>
      <c r="E128" s="154" t="s">
        <v>1</v>
      </c>
      <c r="F128" s="150" t="s">
        <v>1185</v>
      </c>
      <c r="H128" s="151">
        <v>2160</v>
      </c>
      <c r="L128" s="148"/>
      <c r="M128" s="152"/>
      <c r="T128" s="153"/>
      <c r="AT128" s="154" t="s">
        <v>363</v>
      </c>
      <c r="AU128" s="154" t="s">
        <v>143</v>
      </c>
      <c r="AV128" s="12" t="s">
        <v>143</v>
      </c>
      <c r="AW128" s="12" t="s">
        <v>29</v>
      </c>
      <c r="AX128" s="12" t="s">
        <v>81</v>
      </c>
      <c r="AY128" s="154" t="s">
        <v>141</v>
      </c>
    </row>
    <row r="129" spans="2:65" s="1" customFormat="1" ht="16.5" customHeight="1">
      <c r="B129" s="126"/>
      <c r="C129" s="127" t="s">
        <v>217</v>
      </c>
      <c r="D129" s="127" t="s">
        <v>144</v>
      </c>
      <c r="E129" s="128" t="s">
        <v>182</v>
      </c>
      <c r="F129" s="129" t="s">
        <v>183</v>
      </c>
      <c r="G129" s="130" t="s">
        <v>162</v>
      </c>
      <c r="H129" s="131">
        <v>1200</v>
      </c>
      <c r="I129" s="132">
        <v>20.7</v>
      </c>
      <c r="J129" s="132">
        <f>ROUND(I129*H129,2)</f>
        <v>24840</v>
      </c>
      <c r="K129" s="129" t="s">
        <v>148</v>
      </c>
      <c r="L129" s="27"/>
      <c r="M129" s="133" t="s">
        <v>1</v>
      </c>
      <c r="N129" s="134" t="s">
        <v>39</v>
      </c>
      <c r="O129" s="135">
        <v>8.9999999999999993E-3</v>
      </c>
      <c r="P129" s="135">
        <f>O129*H129</f>
        <v>10.799999999999999</v>
      </c>
      <c r="Q129" s="135">
        <v>0</v>
      </c>
      <c r="R129" s="135">
        <f>Q129*H129</f>
        <v>0</v>
      </c>
      <c r="S129" s="135">
        <v>0</v>
      </c>
      <c r="T129" s="136">
        <f>S129*H129</f>
        <v>0</v>
      </c>
      <c r="AR129" s="137" t="s">
        <v>149</v>
      </c>
      <c r="AT129" s="137" t="s">
        <v>144</v>
      </c>
      <c r="AU129" s="137" t="s">
        <v>143</v>
      </c>
      <c r="AY129" s="15" t="s">
        <v>141</v>
      </c>
      <c r="BE129" s="138">
        <f>IF(N129="základní",J129,0)</f>
        <v>0</v>
      </c>
      <c r="BF129" s="138">
        <f>IF(N129="snížená",J129,0)</f>
        <v>24840</v>
      </c>
      <c r="BG129" s="138">
        <f>IF(N129="zákl. přenesená",J129,0)</f>
        <v>0</v>
      </c>
      <c r="BH129" s="138">
        <f>IF(N129="sníž. přenesená",J129,0)</f>
        <v>0</v>
      </c>
      <c r="BI129" s="138">
        <f>IF(N129="nulová",J129,0)</f>
        <v>0</v>
      </c>
      <c r="BJ129" s="15" t="s">
        <v>143</v>
      </c>
      <c r="BK129" s="138">
        <f>ROUND(I129*H129,2)</f>
        <v>24840</v>
      </c>
      <c r="BL129" s="15" t="s">
        <v>149</v>
      </c>
      <c r="BM129" s="137" t="s">
        <v>1186</v>
      </c>
    </row>
    <row r="130" spans="2:65" s="11" customFormat="1" ht="22.9" customHeight="1">
      <c r="B130" s="115"/>
      <c r="D130" s="116" t="s">
        <v>72</v>
      </c>
      <c r="E130" s="124" t="s">
        <v>143</v>
      </c>
      <c r="F130" s="124" t="s">
        <v>189</v>
      </c>
      <c r="J130" s="125">
        <f>BK130</f>
        <v>98340</v>
      </c>
      <c r="L130" s="115"/>
      <c r="M130" s="119"/>
      <c r="P130" s="120">
        <f>P131</f>
        <v>94.6</v>
      </c>
      <c r="R130" s="120">
        <f>R131</f>
        <v>63.219200000000001</v>
      </c>
      <c r="T130" s="121">
        <f>T131</f>
        <v>0</v>
      </c>
      <c r="AR130" s="116" t="s">
        <v>81</v>
      </c>
      <c r="AT130" s="122" t="s">
        <v>72</v>
      </c>
      <c r="AU130" s="122" t="s">
        <v>81</v>
      </c>
      <c r="AY130" s="116" t="s">
        <v>141</v>
      </c>
      <c r="BK130" s="123">
        <f>BK131</f>
        <v>98340</v>
      </c>
    </row>
    <row r="131" spans="2:65" s="1" customFormat="1" ht="37.9" customHeight="1">
      <c r="B131" s="126"/>
      <c r="C131" s="127" t="s">
        <v>185</v>
      </c>
      <c r="D131" s="127" t="s">
        <v>144</v>
      </c>
      <c r="E131" s="128" t="s">
        <v>1187</v>
      </c>
      <c r="F131" s="129" t="s">
        <v>1188</v>
      </c>
      <c r="G131" s="130" t="s">
        <v>193</v>
      </c>
      <c r="H131" s="131">
        <v>220</v>
      </c>
      <c r="I131" s="132">
        <v>447</v>
      </c>
      <c r="J131" s="132">
        <f>ROUND(I131*H131,2)</f>
        <v>98340</v>
      </c>
      <c r="K131" s="129" t="s">
        <v>148</v>
      </c>
      <c r="L131" s="27"/>
      <c r="M131" s="133" t="s">
        <v>1</v>
      </c>
      <c r="N131" s="134" t="s">
        <v>39</v>
      </c>
      <c r="O131" s="135">
        <v>0.43</v>
      </c>
      <c r="P131" s="135">
        <f>O131*H131</f>
        <v>94.6</v>
      </c>
      <c r="Q131" s="135">
        <v>0.28736</v>
      </c>
      <c r="R131" s="135">
        <f>Q131*H131</f>
        <v>63.219200000000001</v>
      </c>
      <c r="S131" s="135">
        <v>0</v>
      </c>
      <c r="T131" s="136">
        <f>S131*H131</f>
        <v>0</v>
      </c>
      <c r="AR131" s="137" t="s">
        <v>149</v>
      </c>
      <c r="AT131" s="137" t="s">
        <v>144</v>
      </c>
      <c r="AU131" s="137" t="s">
        <v>143</v>
      </c>
      <c r="AY131" s="15" t="s">
        <v>141</v>
      </c>
      <c r="BE131" s="138">
        <f>IF(N131="základní",J131,0)</f>
        <v>0</v>
      </c>
      <c r="BF131" s="138">
        <f>IF(N131="snížená",J131,0)</f>
        <v>98340</v>
      </c>
      <c r="BG131" s="138">
        <f>IF(N131="zákl. přenesená",J131,0)</f>
        <v>0</v>
      </c>
      <c r="BH131" s="138">
        <f>IF(N131="sníž. přenesená",J131,0)</f>
        <v>0</v>
      </c>
      <c r="BI131" s="138">
        <f>IF(N131="nulová",J131,0)</f>
        <v>0</v>
      </c>
      <c r="BJ131" s="15" t="s">
        <v>143</v>
      </c>
      <c r="BK131" s="138">
        <f>ROUND(I131*H131,2)</f>
        <v>98340</v>
      </c>
      <c r="BL131" s="15" t="s">
        <v>149</v>
      </c>
      <c r="BM131" s="137" t="s">
        <v>1189</v>
      </c>
    </row>
    <row r="132" spans="2:65" s="11" customFormat="1" ht="22.9" customHeight="1">
      <c r="B132" s="115"/>
      <c r="D132" s="116" t="s">
        <v>72</v>
      </c>
      <c r="E132" s="124" t="s">
        <v>164</v>
      </c>
      <c r="F132" s="124" t="s">
        <v>330</v>
      </c>
      <c r="J132" s="125">
        <f>BK132</f>
        <v>20580</v>
      </c>
      <c r="L132" s="115"/>
      <c r="M132" s="119"/>
      <c r="P132" s="120">
        <f>P133</f>
        <v>11.41</v>
      </c>
      <c r="R132" s="120">
        <f>R133</f>
        <v>9.0265000000000004</v>
      </c>
      <c r="T132" s="121">
        <f>T133</f>
        <v>0</v>
      </c>
      <c r="AR132" s="116" t="s">
        <v>81</v>
      </c>
      <c r="AT132" s="122" t="s">
        <v>72</v>
      </c>
      <c r="AU132" s="122" t="s">
        <v>81</v>
      </c>
      <c r="AY132" s="116" t="s">
        <v>141</v>
      </c>
      <c r="BK132" s="123">
        <f>BK133</f>
        <v>20580</v>
      </c>
    </row>
    <row r="133" spans="2:65" s="1" customFormat="1" ht="24.2" customHeight="1">
      <c r="B133" s="126"/>
      <c r="C133" s="127" t="s">
        <v>164</v>
      </c>
      <c r="D133" s="127" t="s">
        <v>144</v>
      </c>
      <c r="E133" s="128" t="s">
        <v>1190</v>
      </c>
      <c r="F133" s="129" t="s">
        <v>1191</v>
      </c>
      <c r="G133" s="130" t="s">
        <v>193</v>
      </c>
      <c r="H133" s="131">
        <v>70</v>
      </c>
      <c r="I133" s="132">
        <v>294</v>
      </c>
      <c r="J133" s="132">
        <f>ROUND(I133*H133,2)</f>
        <v>20580</v>
      </c>
      <c r="K133" s="129" t="s">
        <v>148</v>
      </c>
      <c r="L133" s="27"/>
      <c r="M133" s="133" t="s">
        <v>1</v>
      </c>
      <c r="N133" s="134" t="s">
        <v>39</v>
      </c>
      <c r="O133" s="135">
        <v>0.16300000000000001</v>
      </c>
      <c r="P133" s="135">
        <f>O133*H133</f>
        <v>11.41</v>
      </c>
      <c r="Q133" s="135">
        <v>0.12895000000000001</v>
      </c>
      <c r="R133" s="135">
        <f>Q133*H133</f>
        <v>9.0265000000000004</v>
      </c>
      <c r="S133" s="135">
        <v>0</v>
      </c>
      <c r="T133" s="136">
        <f>S133*H133</f>
        <v>0</v>
      </c>
      <c r="AR133" s="137" t="s">
        <v>149</v>
      </c>
      <c r="AT133" s="137" t="s">
        <v>144</v>
      </c>
      <c r="AU133" s="137" t="s">
        <v>143</v>
      </c>
      <c r="AY133" s="15" t="s">
        <v>141</v>
      </c>
      <c r="BE133" s="138">
        <f>IF(N133="základní",J133,0)</f>
        <v>0</v>
      </c>
      <c r="BF133" s="138">
        <f>IF(N133="snížená",J133,0)</f>
        <v>20580</v>
      </c>
      <c r="BG133" s="138">
        <f>IF(N133="zákl. přenesená",J133,0)</f>
        <v>0</v>
      </c>
      <c r="BH133" s="138">
        <f>IF(N133="sníž. přenesená",J133,0)</f>
        <v>0</v>
      </c>
      <c r="BI133" s="138">
        <f>IF(N133="nulová",J133,0)</f>
        <v>0</v>
      </c>
      <c r="BJ133" s="15" t="s">
        <v>143</v>
      </c>
      <c r="BK133" s="138">
        <f>ROUND(I133*H133,2)</f>
        <v>20580</v>
      </c>
      <c r="BL133" s="15" t="s">
        <v>149</v>
      </c>
      <c r="BM133" s="137" t="s">
        <v>1192</v>
      </c>
    </row>
    <row r="134" spans="2:65" s="11" customFormat="1" ht="22.9" customHeight="1">
      <c r="B134" s="115"/>
      <c r="D134" s="116" t="s">
        <v>72</v>
      </c>
      <c r="E134" s="124" t="s">
        <v>176</v>
      </c>
      <c r="F134" s="124" t="s">
        <v>425</v>
      </c>
      <c r="J134" s="125">
        <f>BK134</f>
        <v>3429150.4000000004</v>
      </c>
      <c r="L134" s="115"/>
      <c r="M134" s="119"/>
      <c r="P134" s="120">
        <f>SUM(P135:P161)</f>
        <v>342.44</v>
      </c>
      <c r="R134" s="120">
        <f>SUM(R135:R161)</f>
        <v>135.16264000000001</v>
      </c>
      <c r="T134" s="121">
        <f>SUM(T135:T161)</f>
        <v>0</v>
      </c>
      <c r="AR134" s="116" t="s">
        <v>81</v>
      </c>
      <c r="AT134" s="122" t="s">
        <v>72</v>
      </c>
      <c r="AU134" s="122" t="s">
        <v>81</v>
      </c>
      <c r="AY134" s="116" t="s">
        <v>141</v>
      </c>
      <c r="BK134" s="123">
        <f>SUM(BK135:BK161)</f>
        <v>3429150.4000000004</v>
      </c>
    </row>
    <row r="135" spans="2:65" s="1" customFormat="1" ht="24.2" customHeight="1">
      <c r="B135" s="126"/>
      <c r="C135" s="127" t="s">
        <v>168</v>
      </c>
      <c r="D135" s="127" t="s">
        <v>144</v>
      </c>
      <c r="E135" s="128" t="s">
        <v>427</v>
      </c>
      <c r="F135" s="129" t="s">
        <v>1193</v>
      </c>
      <c r="G135" s="130" t="s">
        <v>455</v>
      </c>
      <c r="H135" s="131">
        <v>270</v>
      </c>
      <c r="I135" s="132">
        <v>240</v>
      </c>
      <c r="J135" s="132">
        <f t="shared" ref="J135:J141" si="0">ROUND(I135*H135,2)</f>
        <v>64800</v>
      </c>
      <c r="K135" s="129" t="s">
        <v>1</v>
      </c>
      <c r="L135" s="27"/>
      <c r="M135" s="133" t="s">
        <v>1</v>
      </c>
      <c r="N135" s="134" t="s">
        <v>39</v>
      </c>
      <c r="O135" s="135">
        <v>0</v>
      </c>
      <c r="P135" s="135">
        <f t="shared" ref="P135:P141" si="1">O135*H135</f>
        <v>0</v>
      </c>
      <c r="Q135" s="135">
        <v>0</v>
      </c>
      <c r="R135" s="135">
        <f t="shared" ref="R135:R141" si="2">Q135*H135</f>
        <v>0</v>
      </c>
      <c r="S135" s="135">
        <v>0</v>
      </c>
      <c r="T135" s="136">
        <f t="shared" ref="T135:T141" si="3">S135*H135</f>
        <v>0</v>
      </c>
      <c r="AR135" s="137" t="s">
        <v>149</v>
      </c>
      <c r="AT135" s="137" t="s">
        <v>144</v>
      </c>
      <c r="AU135" s="137" t="s">
        <v>143</v>
      </c>
      <c r="AY135" s="15" t="s">
        <v>141</v>
      </c>
      <c r="BE135" s="138">
        <f t="shared" ref="BE135:BE141" si="4">IF(N135="základní",J135,0)</f>
        <v>0</v>
      </c>
      <c r="BF135" s="138">
        <f t="shared" ref="BF135:BF141" si="5">IF(N135="snížená",J135,0)</f>
        <v>64800</v>
      </c>
      <c r="BG135" s="138">
        <f t="shared" ref="BG135:BG141" si="6">IF(N135="zákl. přenesená",J135,0)</f>
        <v>0</v>
      </c>
      <c r="BH135" s="138">
        <f t="shared" ref="BH135:BH141" si="7">IF(N135="sníž. přenesená",J135,0)</f>
        <v>0</v>
      </c>
      <c r="BI135" s="138">
        <f t="shared" ref="BI135:BI141" si="8">IF(N135="nulová",J135,0)</f>
        <v>0</v>
      </c>
      <c r="BJ135" s="15" t="s">
        <v>143</v>
      </c>
      <c r="BK135" s="138">
        <f t="shared" ref="BK135:BK141" si="9">ROUND(I135*H135,2)</f>
        <v>64800</v>
      </c>
      <c r="BL135" s="15" t="s">
        <v>149</v>
      </c>
      <c r="BM135" s="137" t="s">
        <v>1194</v>
      </c>
    </row>
    <row r="136" spans="2:65" s="1" customFormat="1" ht="24.2" customHeight="1">
      <c r="B136" s="126"/>
      <c r="C136" s="127" t="s">
        <v>172</v>
      </c>
      <c r="D136" s="127" t="s">
        <v>144</v>
      </c>
      <c r="E136" s="128" t="s">
        <v>1195</v>
      </c>
      <c r="F136" s="129" t="s">
        <v>1196</v>
      </c>
      <c r="G136" s="130" t="s">
        <v>455</v>
      </c>
      <c r="H136" s="131">
        <v>55</v>
      </c>
      <c r="I136" s="132">
        <v>2400</v>
      </c>
      <c r="J136" s="132">
        <f t="shared" si="0"/>
        <v>132000</v>
      </c>
      <c r="K136" s="129" t="s">
        <v>1</v>
      </c>
      <c r="L136" s="27"/>
      <c r="M136" s="133" t="s">
        <v>1</v>
      </c>
      <c r="N136" s="134" t="s">
        <v>39</v>
      </c>
      <c r="O136" s="135">
        <v>0</v>
      </c>
      <c r="P136" s="135">
        <f t="shared" si="1"/>
        <v>0</v>
      </c>
      <c r="Q136" s="135">
        <v>0</v>
      </c>
      <c r="R136" s="135">
        <f t="shared" si="2"/>
        <v>0</v>
      </c>
      <c r="S136" s="135">
        <v>0</v>
      </c>
      <c r="T136" s="136">
        <f t="shared" si="3"/>
        <v>0</v>
      </c>
      <c r="AR136" s="137" t="s">
        <v>149</v>
      </c>
      <c r="AT136" s="137" t="s">
        <v>144</v>
      </c>
      <c r="AU136" s="137" t="s">
        <v>143</v>
      </c>
      <c r="AY136" s="15" t="s">
        <v>141</v>
      </c>
      <c r="BE136" s="138">
        <f t="shared" si="4"/>
        <v>0</v>
      </c>
      <c r="BF136" s="138">
        <f t="shared" si="5"/>
        <v>132000</v>
      </c>
      <c r="BG136" s="138">
        <f t="shared" si="6"/>
        <v>0</v>
      </c>
      <c r="BH136" s="138">
        <f t="shared" si="7"/>
        <v>0</v>
      </c>
      <c r="BI136" s="138">
        <f t="shared" si="8"/>
        <v>0</v>
      </c>
      <c r="BJ136" s="15" t="s">
        <v>143</v>
      </c>
      <c r="BK136" s="138">
        <f t="shared" si="9"/>
        <v>132000</v>
      </c>
      <c r="BL136" s="15" t="s">
        <v>149</v>
      </c>
      <c r="BM136" s="137" t="s">
        <v>1197</v>
      </c>
    </row>
    <row r="137" spans="2:65" s="1" customFormat="1" ht="16.5" customHeight="1">
      <c r="B137" s="126"/>
      <c r="C137" s="127" t="s">
        <v>176</v>
      </c>
      <c r="D137" s="127" t="s">
        <v>144</v>
      </c>
      <c r="E137" s="128" t="s">
        <v>432</v>
      </c>
      <c r="F137" s="129" t="s">
        <v>1198</v>
      </c>
      <c r="G137" s="130" t="s">
        <v>157</v>
      </c>
      <c r="H137" s="131">
        <v>16</v>
      </c>
      <c r="I137" s="132">
        <v>840</v>
      </c>
      <c r="J137" s="132">
        <f t="shared" si="0"/>
        <v>13440</v>
      </c>
      <c r="K137" s="129" t="s">
        <v>1</v>
      </c>
      <c r="L137" s="27"/>
      <c r="M137" s="133" t="s">
        <v>1</v>
      </c>
      <c r="N137" s="134" t="s">
        <v>39</v>
      </c>
      <c r="O137" s="135">
        <v>0</v>
      </c>
      <c r="P137" s="135">
        <f t="shared" si="1"/>
        <v>0</v>
      </c>
      <c r="Q137" s="135">
        <v>0</v>
      </c>
      <c r="R137" s="135">
        <f t="shared" si="2"/>
        <v>0</v>
      </c>
      <c r="S137" s="135">
        <v>0</v>
      </c>
      <c r="T137" s="136">
        <f t="shared" si="3"/>
        <v>0</v>
      </c>
      <c r="AR137" s="137" t="s">
        <v>149</v>
      </c>
      <c r="AT137" s="137" t="s">
        <v>144</v>
      </c>
      <c r="AU137" s="137" t="s">
        <v>143</v>
      </c>
      <c r="AY137" s="15" t="s">
        <v>141</v>
      </c>
      <c r="BE137" s="138">
        <f t="shared" si="4"/>
        <v>0</v>
      </c>
      <c r="BF137" s="138">
        <f t="shared" si="5"/>
        <v>13440</v>
      </c>
      <c r="BG137" s="138">
        <f t="shared" si="6"/>
        <v>0</v>
      </c>
      <c r="BH137" s="138">
        <f t="shared" si="7"/>
        <v>0</v>
      </c>
      <c r="BI137" s="138">
        <f t="shared" si="8"/>
        <v>0</v>
      </c>
      <c r="BJ137" s="15" t="s">
        <v>143</v>
      </c>
      <c r="BK137" s="138">
        <f t="shared" si="9"/>
        <v>13440</v>
      </c>
      <c r="BL137" s="15" t="s">
        <v>149</v>
      </c>
      <c r="BM137" s="137" t="s">
        <v>1199</v>
      </c>
    </row>
    <row r="138" spans="2:65" s="1" customFormat="1" ht="24.2" customHeight="1">
      <c r="B138" s="126"/>
      <c r="C138" s="127" t="s">
        <v>181</v>
      </c>
      <c r="D138" s="127" t="s">
        <v>144</v>
      </c>
      <c r="E138" s="128" t="s">
        <v>436</v>
      </c>
      <c r="F138" s="129" t="s">
        <v>1200</v>
      </c>
      <c r="G138" s="130" t="s">
        <v>157</v>
      </c>
      <c r="H138" s="131">
        <v>320</v>
      </c>
      <c r="I138" s="132">
        <v>1480</v>
      </c>
      <c r="J138" s="132">
        <f t="shared" si="0"/>
        <v>473600</v>
      </c>
      <c r="K138" s="129" t="s">
        <v>1</v>
      </c>
      <c r="L138" s="27"/>
      <c r="M138" s="133" t="s">
        <v>1</v>
      </c>
      <c r="N138" s="134" t="s">
        <v>39</v>
      </c>
      <c r="O138" s="135">
        <v>0</v>
      </c>
      <c r="P138" s="135">
        <f t="shared" si="1"/>
        <v>0</v>
      </c>
      <c r="Q138" s="135">
        <v>0</v>
      </c>
      <c r="R138" s="135">
        <f t="shared" si="2"/>
        <v>0</v>
      </c>
      <c r="S138" s="135">
        <v>0</v>
      </c>
      <c r="T138" s="136">
        <f t="shared" si="3"/>
        <v>0</v>
      </c>
      <c r="AR138" s="137" t="s">
        <v>149</v>
      </c>
      <c r="AT138" s="137" t="s">
        <v>144</v>
      </c>
      <c r="AU138" s="137" t="s">
        <v>143</v>
      </c>
      <c r="AY138" s="15" t="s">
        <v>141</v>
      </c>
      <c r="BE138" s="138">
        <f t="shared" si="4"/>
        <v>0</v>
      </c>
      <c r="BF138" s="138">
        <f t="shared" si="5"/>
        <v>473600</v>
      </c>
      <c r="BG138" s="138">
        <f t="shared" si="6"/>
        <v>0</v>
      </c>
      <c r="BH138" s="138">
        <f t="shared" si="7"/>
        <v>0</v>
      </c>
      <c r="BI138" s="138">
        <f t="shared" si="8"/>
        <v>0</v>
      </c>
      <c r="BJ138" s="15" t="s">
        <v>143</v>
      </c>
      <c r="BK138" s="138">
        <f t="shared" si="9"/>
        <v>473600</v>
      </c>
      <c r="BL138" s="15" t="s">
        <v>149</v>
      </c>
      <c r="BM138" s="137" t="s">
        <v>1201</v>
      </c>
    </row>
    <row r="139" spans="2:65" s="1" customFormat="1" ht="24.2" customHeight="1">
      <c r="B139" s="126"/>
      <c r="C139" s="127" t="s">
        <v>199</v>
      </c>
      <c r="D139" s="127" t="s">
        <v>144</v>
      </c>
      <c r="E139" s="128" t="s">
        <v>440</v>
      </c>
      <c r="F139" s="129" t="s">
        <v>1202</v>
      </c>
      <c r="G139" s="130" t="s">
        <v>157</v>
      </c>
      <c r="H139" s="131">
        <v>70</v>
      </c>
      <c r="I139" s="132">
        <v>1800</v>
      </c>
      <c r="J139" s="132">
        <f t="shared" si="0"/>
        <v>126000</v>
      </c>
      <c r="K139" s="129" t="s">
        <v>1</v>
      </c>
      <c r="L139" s="27"/>
      <c r="M139" s="133" t="s">
        <v>1</v>
      </c>
      <c r="N139" s="134" t="s">
        <v>39</v>
      </c>
      <c r="O139" s="135">
        <v>0</v>
      </c>
      <c r="P139" s="135">
        <f t="shared" si="1"/>
        <v>0</v>
      </c>
      <c r="Q139" s="135">
        <v>0</v>
      </c>
      <c r="R139" s="135">
        <f t="shared" si="2"/>
        <v>0</v>
      </c>
      <c r="S139" s="135">
        <v>0</v>
      </c>
      <c r="T139" s="136">
        <f t="shared" si="3"/>
        <v>0</v>
      </c>
      <c r="AR139" s="137" t="s">
        <v>149</v>
      </c>
      <c r="AT139" s="137" t="s">
        <v>144</v>
      </c>
      <c r="AU139" s="137" t="s">
        <v>143</v>
      </c>
      <c r="AY139" s="15" t="s">
        <v>141</v>
      </c>
      <c r="BE139" s="138">
        <f t="shared" si="4"/>
        <v>0</v>
      </c>
      <c r="BF139" s="138">
        <f t="shared" si="5"/>
        <v>126000</v>
      </c>
      <c r="BG139" s="138">
        <f t="shared" si="6"/>
        <v>0</v>
      </c>
      <c r="BH139" s="138">
        <f t="shared" si="7"/>
        <v>0</v>
      </c>
      <c r="BI139" s="138">
        <f t="shared" si="8"/>
        <v>0</v>
      </c>
      <c r="BJ139" s="15" t="s">
        <v>143</v>
      </c>
      <c r="BK139" s="138">
        <f t="shared" si="9"/>
        <v>126000</v>
      </c>
      <c r="BL139" s="15" t="s">
        <v>149</v>
      </c>
      <c r="BM139" s="137" t="s">
        <v>1203</v>
      </c>
    </row>
    <row r="140" spans="2:65" s="1" customFormat="1" ht="16.5" customHeight="1">
      <c r="B140" s="126"/>
      <c r="C140" s="127" t="s">
        <v>8</v>
      </c>
      <c r="D140" s="127" t="s">
        <v>144</v>
      </c>
      <c r="E140" s="128" t="s">
        <v>444</v>
      </c>
      <c r="F140" s="129" t="s">
        <v>1204</v>
      </c>
      <c r="G140" s="130" t="s">
        <v>450</v>
      </c>
      <c r="H140" s="131">
        <v>8</v>
      </c>
      <c r="I140" s="132">
        <v>3800</v>
      </c>
      <c r="J140" s="132">
        <f t="shared" si="0"/>
        <v>30400</v>
      </c>
      <c r="K140" s="129" t="s">
        <v>1</v>
      </c>
      <c r="L140" s="27"/>
      <c r="M140" s="133" t="s">
        <v>1</v>
      </c>
      <c r="N140" s="134" t="s">
        <v>39</v>
      </c>
      <c r="O140" s="135">
        <v>0</v>
      </c>
      <c r="P140" s="135">
        <f t="shared" si="1"/>
        <v>0</v>
      </c>
      <c r="Q140" s="135">
        <v>0</v>
      </c>
      <c r="R140" s="135">
        <f t="shared" si="2"/>
        <v>0</v>
      </c>
      <c r="S140" s="135">
        <v>0</v>
      </c>
      <c r="T140" s="136">
        <f t="shared" si="3"/>
        <v>0</v>
      </c>
      <c r="AR140" s="137" t="s">
        <v>149</v>
      </c>
      <c r="AT140" s="137" t="s">
        <v>144</v>
      </c>
      <c r="AU140" s="137" t="s">
        <v>143</v>
      </c>
      <c r="AY140" s="15" t="s">
        <v>141</v>
      </c>
      <c r="BE140" s="138">
        <f t="shared" si="4"/>
        <v>0</v>
      </c>
      <c r="BF140" s="138">
        <f t="shared" si="5"/>
        <v>30400</v>
      </c>
      <c r="BG140" s="138">
        <f t="shared" si="6"/>
        <v>0</v>
      </c>
      <c r="BH140" s="138">
        <f t="shared" si="7"/>
        <v>0</v>
      </c>
      <c r="BI140" s="138">
        <f t="shared" si="8"/>
        <v>0</v>
      </c>
      <c r="BJ140" s="15" t="s">
        <v>143</v>
      </c>
      <c r="BK140" s="138">
        <f t="shared" si="9"/>
        <v>30400</v>
      </c>
      <c r="BL140" s="15" t="s">
        <v>149</v>
      </c>
      <c r="BM140" s="137" t="s">
        <v>1205</v>
      </c>
    </row>
    <row r="141" spans="2:65" s="1" customFormat="1" ht="21.75" customHeight="1">
      <c r="B141" s="126"/>
      <c r="C141" s="127" t="s">
        <v>7</v>
      </c>
      <c r="D141" s="127" t="s">
        <v>144</v>
      </c>
      <c r="E141" s="128" t="s">
        <v>448</v>
      </c>
      <c r="F141" s="129" t="s">
        <v>1206</v>
      </c>
      <c r="G141" s="130" t="s">
        <v>157</v>
      </c>
      <c r="H141" s="131">
        <v>615</v>
      </c>
      <c r="I141" s="132">
        <v>1650</v>
      </c>
      <c r="J141" s="132">
        <f t="shared" si="0"/>
        <v>1014750</v>
      </c>
      <c r="K141" s="129" t="s">
        <v>1</v>
      </c>
      <c r="L141" s="27"/>
      <c r="M141" s="133" t="s">
        <v>1</v>
      </c>
      <c r="N141" s="134" t="s">
        <v>39</v>
      </c>
      <c r="O141" s="135">
        <v>0</v>
      </c>
      <c r="P141" s="135">
        <f t="shared" si="1"/>
        <v>0</v>
      </c>
      <c r="Q141" s="135">
        <v>0</v>
      </c>
      <c r="R141" s="135">
        <f t="shared" si="2"/>
        <v>0</v>
      </c>
      <c r="S141" s="135">
        <v>0</v>
      </c>
      <c r="T141" s="136">
        <f t="shared" si="3"/>
        <v>0</v>
      </c>
      <c r="AR141" s="137" t="s">
        <v>149</v>
      </c>
      <c r="AT141" s="137" t="s">
        <v>144</v>
      </c>
      <c r="AU141" s="137" t="s">
        <v>143</v>
      </c>
      <c r="AY141" s="15" t="s">
        <v>141</v>
      </c>
      <c r="BE141" s="138">
        <f t="shared" si="4"/>
        <v>0</v>
      </c>
      <c r="BF141" s="138">
        <f t="shared" si="5"/>
        <v>1014750</v>
      </c>
      <c r="BG141" s="138">
        <f t="shared" si="6"/>
        <v>0</v>
      </c>
      <c r="BH141" s="138">
        <f t="shared" si="7"/>
        <v>0</v>
      </c>
      <c r="BI141" s="138">
        <f t="shared" si="8"/>
        <v>0</v>
      </c>
      <c r="BJ141" s="15" t="s">
        <v>143</v>
      </c>
      <c r="BK141" s="138">
        <f t="shared" si="9"/>
        <v>1014750</v>
      </c>
      <c r="BL141" s="15" t="s">
        <v>149</v>
      </c>
      <c r="BM141" s="137" t="s">
        <v>1207</v>
      </c>
    </row>
    <row r="142" spans="2:65" s="12" customFormat="1">
      <c r="B142" s="148"/>
      <c r="D142" s="149" t="s">
        <v>363</v>
      </c>
      <c r="E142" s="154" t="s">
        <v>1</v>
      </c>
      <c r="F142" s="150" t="s">
        <v>1208</v>
      </c>
      <c r="H142" s="151">
        <v>615</v>
      </c>
      <c r="L142" s="148"/>
      <c r="M142" s="152"/>
      <c r="T142" s="153"/>
      <c r="AT142" s="154" t="s">
        <v>363</v>
      </c>
      <c r="AU142" s="154" t="s">
        <v>143</v>
      </c>
      <c r="AV142" s="12" t="s">
        <v>143</v>
      </c>
      <c r="AW142" s="12" t="s">
        <v>29</v>
      </c>
      <c r="AX142" s="12" t="s">
        <v>81</v>
      </c>
      <c r="AY142" s="154" t="s">
        <v>141</v>
      </c>
    </row>
    <row r="143" spans="2:65" s="1" customFormat="1" ht="24.2" customHeight="1">
      <c r="B143" s="126"/>
      <c r="C143" s="127" t="s">
        <v>228</v>
      </c>
      <c r="D143" s="127" t="s">
        <v>144</v>
      </c>
      <c r="E143" s="128" t="s">
        <v>453</v>
      </c>
      <c r="F143" s="129" t="s">
        <v>1209</v>
      </c>
      <c r="G143" s="130" t="s">
        <v>157</v>
      </c>
      <c r="H143" s="131">
        <v>290</v>
      </c>
      <c r="I143" s="132">
        <v>1530</v>
      </c>
      <c r="J143" s="132">
        <f>ROUND(I143*H143,2)</f>
        <v>443700</v>
      </c>
      <c r="K143" s="129" t="s">
        <v>1</v>
      </c>
      <c r="L143" s="27"/>
      <c r="M143" s="133" t="s">
        <v>1</v>
      </c>
      <c r="N143" s="134" t="s">
        <v>39</v>
      </c>
      <c r="O143" s="135">
        <v>0</v>
      </c>
      <c r="P143" s="135">
        <f>O143*H143</f>
        <v>0</v>
      </c>
      <c r="Q143" s="135">
        <v>0</v>
      </c>
      <c r="R143" s="135">
        <f>Q143*H143</f>
        <v>0</v>
      </c>
      <c r="S143" s="135">
        <v>0</v>
      </c>
      <c r="T143" s="136">
        <f>S143*H143</f>
        <v>0</v>
      </c>
      <c r="AR143" s="137" t="s">
        <v>149</v>
      </c>
      <c r="AT143" s="137" t="s">
        <v>144</v>
      </c>
      <c r="AU143" s="137" t="s">
        <v>143</v>
      </c>
      <c r="AY143" s="15" t="s">
        <v>141</v>
      </c>
      <c r="BE143" s="138">
        <f>IF(N143="základní",J143,0)</f>
        <v>0</v>
      </c>
      <c r="BF143" s="138">
        <f>IF(N143="snížená",J143,0)</f>
        <v>443700</v>
      </c>
      <c r="BG143" s="138">
        <f>IF(N143="zákl. přenesená",J143,0)</f>
        <v>0</v>
      </c>
      <c r="BH143" s="138">
        <f>IF(N143="sníž. přenesená",J143,0)</f>
        <v>0</v>
      </c>
      <c r="BI143" s="138">
        <f>IF(N143="nulová",J143,0)</f>
        <v>0</v>
      </c>
      <c r="BJ143" s="15" t="s">
        <v>143</v>
      </c>
      <c r="BK143" s="138">
        <f>ROUND(I143*H143,2)</f>
        <v>443700</v>
      </c>
      <c r="BL143" s="15" t="s">
        <v>149</v>
      </c>
      <c r="BM143" s="137" t="s">
        <v>1210</v>
      </c>
    </row>
    <row r="144" spans="2:65" s="12" customFormat="1">
      <c r="B144" s="148"/>
      <c r="D144" s="149" t="s">
        <v>363</v>
      </c>
      <c r="E144" s="154" t="s">
        <v>1</v>
      </c>
      <c r="F144" s="150" t="s">
        <v>1211</v>
      </c>
      <c r="H144" s="151">
        <v>290</v>
      </c>
      <c r="L144" s="148"/>
      <c r="M144" s="152"/>
      <c r="T144" s="153"/>
      <c r="AT144" s="154" t="s">
        <v>363</v>
      </c>
      <c r="AU144" s="154" t="s">
        <v>143</v>
      </c>
      <c r="AV144" s="12" t="s">
        <v>143</v>
      </c>
      <c r="AW144" s="12" t="s">
        <v>29</v>
      </c>
      <c r="AX144" s="12" t="s">
        <v>81</v>
      </c>
      <c r="AY144" s="154" t="s">
        <v>141</v>
      </c>
    </row>
    <row r="145" spans="2:65" s="1" customFormat="1" ht="33" customHeight="1">
      <c r="B145" s="126"/>
      <c r="C145" s="127" t="s">
        <v>232</v>
      </c>
      <c r="D145" s="127" t="s">
        <v>144</v>
      </c>
      <c r="E145" s="128" t="s">
        <v>458</v>
      </c>
      <c r="F145" s="129" t="s">
        <v>1212</v>
      </c>
      <c r="G145" s="130" t="s">
        <v>157</v>
      </c>
      <c r="H145" s="131">
        <v>95</v>
      </c>
      <c r="I145" s="132">
        <v>2700</v>
      </c>
      <c r="J145" s="132">
        <f>ROUND(I145*H145,2)</f>
        <v>256500</v>
      </c>
      <c r="K145" s="129" t="s">
        <v>1</v>
      </c>
      <c r="L145" s="27"/>
      <c r="M145" s="133" t="s">
        <v>1</v>
      </c>
      <c r="N145" s="134" t="s">
        <v>39</v>
      </c>
      <c r="O145" s="135">
        <v>0</v>
      </c>
      <c r="P145" s="135">
        <f>O145*H145</f>
        <v>0</v>
      </c>
      <c r="Q145" s="135">
        <v>0</v>
      </c>
      <c r="R145" s="135">
        <f>Q145*H145</f>
        <v>0</v>
      </c>
      <c r="S145" s="135">
        <v>0</v>
      </c>
      <c r="T145" s="136">
        <f>S145*H145</f>
        <v>0</v>
      </c>
      <c r="AR145" s="137" t="s">
        <v>149</v>
      </c>
      <c r="AT145" s="137" t="s">
        <v>144</v>
      </c>
      <c r="AU145" s="137" t="s">
        <v>143</v>
      </c>
      <c r="AY145" s="15" t="s">
        <v>141</v>
      </c>
      <c r="BE145" s="138">
        <f>IF(N145="základní",J145,0)</f>
        <v>0</v>
      </c>
      <c r="BF145" s="138">
        <f>IF(N145="snížená",J145,0)</f>
        <v>256500</v>
      </c>
      <c r="BG145" s="138">
        <f>IF(N145="zákl. přenesená",J145,0)</f>
        <v>0</v>
      </c>
      <c r="BH145" s="138">
        <f>IF(N145="sníž. přenesená",J145,0)</f>
        <v>0</v>
      </c>
      <c r="BI145" s="138">
        <f>IF(N145="nulová",J145,0)</f>
        <v>0</v>
      </c>
      <c r="BJ145" s="15" t="s">
        <v>143</v>
      </c>
      <c r="BK145" s="138">
        <f>ROUND(I145*H145,2)</f>
        <v>256500</v>
      </c>
      <c r="BL145" s="15" t="s">
        <v>149</v>
      </c>
      <c r="BM145" s="137" t="s">
        <v>1213</v>
      </c>
    </row>
    <row r="146" spans="2:65" s="12" customFormat="1">
      <c r="B146" s="148"/>
      <c r="D146" s="149" t="s">
        <v>363</v>
      </c>
      <c r="E146" s="154" t="s">
        <v>1</v>
      </c>
      <c r="F146" s="150" t="s">
        <v>1214</v>
      </c>
      <c r="H146" s="151">
        <v>95</v>
      </c>
      <c r="L146" s="148"/>
      <c r="M146" s="152"/>
      <c r="T146" s="153"/>
      <c r="AT146" s="154" t="s">
        <v>363</v>
      </c>
      <c r="AU146" s="154" t="s">
        <v>143</v>
      </c>
      <c r="AV146" s="12" t="s">
        <v>143</v>
      </c>
      <c r="AW146" s="12" t="s">
        <v>29</v>
      </c>
      <c r="AX146" s="12" t="s">
        <v>81</v>
      </c>
      <c r="AY146" s="154" t="s">
        <v>141</v>
      </c>
    </row>
    <row r="147" spans="2:65" s="1" customFormat="1" ht="24.2" customHeight="1">
      <c r="B147" s="126"/>
      <c r="C147" s="127" t="s">
        <v>236</v>
      </c>
      <c r="D147" s="127" t="s">
        <v>144</v>
      </c>
      <c r="E147" s="128" t="s">
        <v>462</v>
      </c>
      <c r="F147" s="129" t="s">
        <v>1215</v>
      </c>
      <c r="G147" s="130" t="s">
        <v>157</v>
      </c>
      <c r="H147" s="131">
        <v>310</v>
      </c>
      <c r="I147" s="132">
        <v>580</v>
      </c>
      <c r="J147" s="132">
        <f>ROUND(I147*H147,2)</f>
        <v>179800</v>
      </c>
      <c r="K147" s="129" t="s">
        <v>1</v>
      </c>
      <c r="L147" s="27"/>
      <c r="M147" s="133" t="s">
        <v>1</v>
      </c>
      <c r="N147" s="134" t="s">
        <v>39</v>
      </c>
      <c r="O147" s="135">
        <v>0</v>
      </c>
      <c r="P147" s="135">
        <f>O147*H147</f>
        <v>0</v>
      </c>
      <c r="Q147" s="135">
        <v>0</v>
      </c>
      <c r="R147" s="135">
        <f>Q147*H147</f>
        <v>0</v>
      </c>
      <c r="S147" s="135">
        <v>0</v>
      </c>
      <c r="T147" s="136">
        <f>S147*H147</f>
        <v>0</v>
      </c>
      <c r="AR147" s="137" t="s">
        <v>149</v>
      </c>
      <c r="AT147" s="137" t="s">
        <v>144</v>
      </c>
      <c r="AU147" s="137" t="s">
        <v>143</v>
      </c>
      <c r="AY147" s="15" t="s">
        <v>141</v>
      </c>
      <c r="BE147" s="138">
        <f>IF(N147="základní",J147,0)</f>
        <v>0</v>
      </c>
      <c r="BF147" s="138">
        <f>IF(N147="snížená",J147,0)</f>
        <v>179800</v>
      </c>
      <c r="BG147" s="138">
        <f>IF(N147="zákl. přenesená",J147,0)</f>
        <v>0</v>
      </c>
      <c r="BH147" s="138">
        <f>IF(N147="sníž. přenesená",J147,0)</f>
        <v>0</v>
      </c>
      <c r="BI147" s="138">
        <f>IF(N147="nulová",J147,0)</f>
        <v>0</v>
      </c>
      <c r="BJ147" s="15" t="s">
        <v>143</v>
      </c>
      <c r="BK147" s="138">
        <f>ROUND(I147*H147,2)</f>
        <v>179800</v>
      </c>
      <c r="BL147" s="15" t="s">
        <v>149</v>
      </c>
      <c r="BM147" s="137" t="s">
        <v>1216</v>
      </c>
    </row>
    <row r="148" spans="2:65" s="12" customFormat="1">
      <c r="B148" s="148"/>
      <c r="D148" s="149" t="s">
        <v>363</v>
      </c>
      <c r="E148" s="154" t="s">
        <v>1</v>
      </c>
      <c r="F148" s="150" t="s">
        <v>1217</v>
      </c>
      <c r="H148" s="151">
        <v>310</v>
      </c>
      <c r="L148" s="148"/>
      <c r="M148" s="152"/>
      <c r="T148" s="153"/>
      <c r="AT148" s="154" t="s">
        <v>363</v>
      </c>
      <c r="AU148" s="154" t="s">
        <v>143</v>
      </c>
      <c r="AV148" s="12" t="s">
        <v>143</v>
      </c>
      <c r="AW148" s="12" t="s">
        <v>29</v>
      </c>
      <c r="AX148" s="12" t="s">
        <v>81</v>
      </c>
      <c r="AY148" s="154" t="s">
        <v>141</v>
      </c>
    </row>
    <row r="149" spans="2:65" s="1" customFormat="1" ht="33" customHeight="1">
      <c r="B149" s="126"/>
      <c r="C149" s="127" t="s">
        <v>81</v>
      </c>
      <c r="D149" s="127" t="s">
        <v>144</v>
      </c>
      <c r="E149" s="128" t="s">
        <v>1218</v>
      </c>
      <c r="F149" s="129" t="s">
        <v>1219</v>
      </c>
      <c r="G149" s="130" t="s">
        <v>193</v>
      </c>
      <c r="H149" s="131">
        <v>300</v>
      </c>
      <c r="I149" s="132">
        <v>278</v>
      </c>
      <c r="J149" s="132">
        <f>ROUND(I149*H149,2)</f>
        <v>83400</v>
      </c>
      <c r="K149" s="129" t="s">
        <v>148</v>
      </c>
      <c r="L149" s="27"/>
      <c r="M149" s="133" t="s">
        <v>1</v>
      </c>
      <c r="N149" s="134" t="s">
        <v>39</v>
      </c>
      <c r="O149" s="135">
        <v>0.26800000000000002</v>
      </c>
      <c r="P149" s="135">
        <f>O149*H149</f>
        <v>80.400000000000006</v>
      </c>
      <c r="Q149" s="135">
        <v>0.15540000000000001</v>
      </c>
      <c r="R149" s="135">
        <f>Q149*H149</f>
        <v>46.620000000000005</v>
      </c>
      <c r="S149" s="135">
        <v>0</v>
      </c>
      <c r="T149" s="136">
        <f>S149*H149</f>
        <v>0</v>
      </c>
      <c r="AR149" s="137" t="s">
        <v>149</v>
      </c>
      <c r="AT149" s="137" t="s">
        <v>144</v>
      </c>
      <c r="AU149" s="137" t="s">
        <v>143</v>
      </c>
      <c r="AY149" s="15" t="s">
        <v>141</v>
      </c>
      <c r="BE149" s="138">
        <f>IF(N149="základní",J149,0)</f>
        <v>0</v>
      </c>
      <c r="BF149" s="138">
        <f>IF(N149="snížená",J149,0)</f>
        <v>83400</v>
      </c>
      <c r="BG149" s="138">
        <f>IF(N149="zákl. přenesená",J149,0)</f>
        <v>0</v>
      </c>
      <c r="BH149" s="138">
        <f>IF(N149="sníž. přenesená",J149,0)</f>
        <v>0</v>
      </c>
      <c r="BI149" s="138">
        <f>IF(N149="nulová",J149,0)</f>
        <v>0</v>
      </c>
      <c r="BJ149" s="15" t="s">
        <v>143</v>
      </c>
      <c r="BK149" s="138">
        <f>ROUND(I149*H149,2)</f>
        <v>83400</v>
      </c>
      <c r="BL149" s="15" t="s">
        <v>149</v>
      </c>
      <c r="BM149" s="137" t="s">
        <v>1220</v>
      </c>
    </row>
    <row r="150" spans="2:65" s="12" customFormat="1">
      <c r="B150" s="148"/>
      <c r="D150" s="149" t="s">
        <v>363</v>
      </c>
      <c r="E150" s="154" t="s">
        <v>1</v>
      </c>
      <c r="F150" s="150" t="s">
        <v>1221</v>
      </c>
      <c r="H150" s="151">
        <v>120</v>
      </c>
      <c r="L150" s="148"/>
      <c r="M150" s="152"/>
      <c r="T150" s="153"/>
      <c r="AT150" s="154" t="s">
        <v>363</v>
      </c>
      <c r="AU150" s="154" t="s">
        <v>143</v>
      </c>
      <c r="AV150" s="12" t="s">
        <v>143</v>
      </c>
      <c r="AW150" s="12" t="s">
        <v>29</v>
      </c>
      <c r="AX150" s="12" t="s">
        <v>73</v>
      </c>
      <c r="AY150" s="154" t="s">
        <v>141</v>
      </c>
    </row>
    <row r="151" spans="2:65" s="12" customFormat="1">
      <c r="B151" s="148"/>
      <c r="D151" s="149" t="s">
        <v>363</v>
      </c>
      <c r="E151" s="154" t="s">
        <v>1</v>
      </c>
      <c r="F151" s="150" t="s">
        <v>1222</v>
      </c>
      <c r="H151" s="151">
        <v>180</v>
      </c>
      <c r="L151" s="148"/>
      <c r="M151" s="152"/>
      <c r="T151" s="153"/>
      <c r="AT151" s="154" t="s">
        <v>363</v>
      </c>
      <c r="AU151" s="154" t="s">
        <v>143</v>
      </c>
      <c r="AV151" s="12" t="s">
        <v>143</v>
      </c>
      <c r="AW151" s="12" t="s">
        <v>29</v>
      </c>
      <c r="AX151" s="12" t="s">
        <v>73</v>
      </c>
      <c r="AY151" s="154" t="s">
        <v>141</v>
      </c>
    </row>
    <row r="152" spans="2:65" s="13" customFormat="1">
      <c r="B152" s="159"/>
      <c r="D152" s="149" t="s">
        <v>363</v>
      </c>
      <c r="E152" s="160" t="s">
        <v>1</v>
      </c>
      <c r="F152" s="161" t="s">
        <v>1223</v>
      </c>
      <c r="H152" s="162">
        <v>300</v>
      </c>
      <c r="L152" s="159"/>
      <c r="M152" s="163"/>
      <c r="T152" s="164"/>
      <c r="AT152" s="160" t="s">
        <v>363</v>
      </c>
      <c r="AU152" s="160" t="s">
        <v>143</v>
      </c>
      <c r="AV152" s="13" t="s">
        <v>149</v>
      </c>
      <c r="AW152" s="13" t="s">
        <v>29</v>
      </c>
      <c r="AX152" s="13" t="s">
        <v>81</v>
      </c>
      <c r="AY152" s="160" t="s">
        <v>141</v>
      </c>
    </row>
    <row r="153" spans="2:65" s="1" customFormat="1" ht="21.75" customHeight="1">
      <c r="B153" s="126"/>
      <c r="C153" s="139" t="s">
        <v>151</v>
      </c>
      <c r="D153" s="139" t="s">
        <v>207</v>
      </c>
      <c r="E153" s="140" t="s">
        <v>1224</v>
      </c>
      <c r="F153" s="141" t="s">
        <v>1225</v>
      </c>
      <c r="G153" s="142" t="s">
        <v>193</v>
      </c>
      <c r="H153" s="143">
        <v>183.6</v>
      </c>
      <c r="I153" s="144">
        <v>317</v>
      </c>
      <c r="J153" s="144">
        <f>ROUND(I153*H153,2)</f>
        <v>58201.2</v>
      </c>
      <c r="K153" s="141" t="s">
        <v>148</v>
      </c>
      <c r="L153" s="145"/>
      <c r="M153" s="146" t="s">
        <v>1</v>
      </c>
      <c r="N153" s="147" t="s">
        <v>39</v>
      </c>
      <c r="O153" s="135">
        <v>0</v>
      </c>
      <c r="P153" s="135">
        <f>O153*H153</f>
        <v>0</v>
      </c>
      <c r="Q153" s="135">
        <v>4.8399999999999999E-2</v>
      </c>
      <c r="R153" s="135">
        <f>Q153*H153</f>
        <v>8.886239999999999</v>
      </c>
      <c r="S153" s="135">
        <v>0</v>
      </c>
      <c r="T153" s="136">
        <f>S153*H153</f>
        <v>0</v>
      </c>
      <c r="AR153" s="137" t="s">
        <v>172</v>
      </c>
      <c r="AT153" s="137" t="s">
        <v>207</v>
      </c>
      <c r="AU153" s="137" t="s">
        <v>143</v>
      </c>
      <c r="AY153" s="15" t="s">
        <v>141</v>
      </c>
      <c r="BE153" s="138">
        <f>IF(N153="základní",J153,0)</f>
        <v>0</v>
      </c>
      <c r="BF153" s="138">
        <f>IF(N153="snížená",J153,0)</f>
        <v>58201.2</v>
      </c>
      <c r="BG153" s="138">
        <f>IF(N153="zákl. přenesená",J153,0)</f>
        <v>0</v>
      </c>
      <c r="BH153" s="138">
        <f>IF(N153="sníž. přenesená",J153,0)</f>
        <v>0</v>
      </c>
      <c r="BI153" s="138">
        <f>IF(N153="nulová",J153,0)</f>
        <v>0</v>
      </c>
      <c r="BJ153" s="15" t="s">
        <v>143</v>
      </c>
      <c r="BK153" s="138">
        <f>ROUND(I153*H153,2)</f>
        <v>58201.2</v>
      </c>
      <c r="BL153" s="15" t="s">
        <v>149</v>
      </c>
      <c r="BM153" s="137" t="s">
        <v>1226</v>
      </c>
    </row>
    <row r="154" spans="2:65" s="12" customFormat="1">
      <c r="B154" s="148"/>
      <c r="D154" s="149" t="s">
        <v>363</v>
      </c>
      <c r="F154" s="150" t="s">
        <v>1227</v>
      </c>
      <c r="H154" s="151">
        <v>183.6</v>
      </c>
      <c r="L154" s="148"/>
      <c r="M154" s="152"/>
      <c r="T154" s="153"/>
      <c r="AT154" s="154" t="s">
        <v>363</v>
      </c>
      <c r="AU154" s="154" t="s">
        <v>143</v>
      </c>
      <c r="AV154" s="12" t="s">
        <v>143</v>
      </c>
      <c r="AW154" s="12" t="s">
        <v>3</v>
      </c>
      <c r="AX154" s="12" t="s">
        <v>81</v>
      </c>
      <c r="AY154" s="154" t="s">
        <v>141</v>
      </c>
    </row>
    <row r="155" spans="2:65" s="1" customFormat="1" ht="16.5" customHeight="1">
      <c r="B155" s="126"/>
      <c r="C155" s="139" t="s">
        <v>143</v>
      </c>
      <c r="D155" s="139" t="s">
        <v>207</v>
      </c>
      <c r="E155" s="140" t="s">
        <v>1228</v>
      </c>
      <c r="F155" s="141" t="s">
        <v>1229</v>
      </c>
      <c r="G155" s="142" t="s">
        <v>193</v>
      </c>
      <c r="H155" s="143">
        <v>122.4</v>
      </c>
      <c r="I155" s="144">
        <v>293</v>
      </c>
      <c r="J155" s="144">
        <f>ROUND(I155*H155,2)</f>
        <v>35863.199999999997</v>
      </c>
      <c r="K155" s="141" t="s">
        <v>148</v>
      </c>
      <c r="L155" s="145"/>
      <c r="M155" s="146" t="s">
        <v>1</v>
      </c>
      <c r="N155" s="147" t="s">
        <v>39</v>
      </c>
      <c r="O155" s="135">
        <v>0</v>
      </c>
      <c r="P155" s="135">
        <f>O155*H155</f>
        <v>0</v>
      </c>
      <c r="Q155" s="135">
        <v>0.10199999999999999</v>
      </c>
      <c r="R155" s="135">
        <f>Q155*H155</f>
        <v>12.4848</v>
      </c>
      <c r="S155" s="135">
        <v>0</v>
      </c>
      <c r="T155" s="136">
        <f>S155*H155</f>
        <v>0</v>
      </c>
      <c r="AR155" s="137" t="s">
        <v>172</v>
      </c>
      <c r="AT155" s="137" t="s">
        <v>207</v>
      </c>
      <c r="AU155" s="137" t="s">
        <v>143</v>
      </c>
      <c r="AY155" s="15" t="s">
        <v>141</v>
      </c>
      <c r="BE155" s="138">
        <f>IF(N155="základní",J155,0)</f>
        <v>0</v>
      </c>
      <c r="BF155" s="138">
        <f>IF(N155="snížená",J155,0)</f>
        <v>35863.199999999997</v>
      </c>
      <c r="BG155" s="138">
        <f>IF(N155="zákl. přenesená",J155,0)</f>
        <v>0</v>
      </c>
      <c r="BH155" s="138">
        <f>IF(N155="sníž. přenesená",J155,0)</f>
        <v>0</v>
      </c>
      <c r="BI155" s="138">
        <f>IF(N155="nulová",J155,0)</f>
        <v>0</v>
      </c>
      <c r="BJ155" s="15" t="s">
        <v>143</v>
      </c>
      <c r="BK155" s="138">
        <f>ROUND(I155*H155,2)</f>
        <v>35863.199999999997</v>
      </c>
      <c r="BL155" s="15" t="s">
        <v>149</v>
      </c>
      <c r="BM155" s="137" t="s">
        <v>1230</v>
      </c>
    </row>
    <row r="156" spans="2:65" s="12" customFormat="1">
      <c r="B156" s="148"/>
      <c r="D156" s="149" t="s">
        <v>363</v>
      </c>
      <c r="F156" s="150" t="s">
        <v>1231</v>
      </c>
      <c r="H156" s="151">
        <v>122.4</v>
      </c>
      <c r="L156" s="148"/>
      <c r="M156" s="152"/>
      <c r="T156" s="153"/>
      <c r="AT156" s="154" t="s">
        <v>363</v>
      </c>
      <c r="AU156" s="154" t="s">
        <v>143</v>
      </c>
      <c r="AV156" s="12" t="s">
        <v>143</v>
      </c>
      <c r="AW156" s="12" t="s">
        <v>3</v>
      </c>
      <c r="AX156" s="12" t="s">
        <v>81</v>
      </c>
      <c r="AY156" s="154" t="s">
        <v>141</v>
      </c>
    </row>
    <row r="157" spans="2:65" s="1" customFormat="1" ht="33" customHeight="1">
      <c r="B157" s="126"/>
      <c r="C157" s="127" t="s">
        <v>149</v>
      </c>
      <c r="D157" s="127" t="s">
        <v>144</v>
      </c>
      <c r="E157" s="128" t="s">
        <v>1232</v>
      </c>
      <c r="F157" s="129" t="s">
        <v>1233</v>
      </c>
      <c r="G157" s="130" t="s">
        <v>193</v>
      </c>
      <c r="H157" s="131">
        <v>360</v>
      </c>
      <c r="I157" s="132">
        <v>237</v>
      </c>
      <c r="J157" s="132">
        <f>ROUND(I157*H157,2)</f>
        <v>85320</v>
      </c>
      <c r="K157" s="129" t="s">
        <v>148</v>
      </c>
      <c r="L157" s="27"/>
      <c r="M157" s="133" t="s">
        <v>1</v>
      </c>
      <c r="N157" s="134" t="s">
        <v>39</v>
      </c>
      <c r="O157" s="135">
        <v>0.23899999999999999</v>
      </c>
      <c r="P157" s="135">
        <f>O157*H157</f>
        <v>86.039999999999992</v>
      </c>
      <c r="Q157" s="135">
        <v>0.1295</v>
      </c>
      <c r="R157" s="135">
        <f>Q157*H157</f>
        <v>46.620000000000005</v>
      </c>
      <c r="S157" s="135">
        <v>0</v>
      </c>
      <c r="T157" s="136">
        <f>S157*H157</f>
        <v>0</v>
      </c>
      <c r="AR157" s="137" t="s">
        <v>149</v>
      </c>
      <c r="AT157" s="137" t="s">
        <v>144</v>
      </c>
      <c r="AU157" s="137" t="s">
        <v>143</v>
      </c>
      <c r="AY157" s="15" t="s">
        <v>141</v>
      </c>
      <c r="BE157" s="138">
        <f>IF(N157="základní",J157,0)</f>
        <v>0</v>
      </c>
      <c r="BF157" s="138">
        <f>IF(N157="snížená",J157,0)</f>
        <v>85320</v>
      </c>
      <c r="BG157" s="138">
        <f>IF(N157="zákl. přenesená",J157,0)</f>
        <v>0</v>
      </c>
      <c r="BH157" s="138">
        <f>IF(N157="sníž. přenesená",J157,0)</f>
        <v>0</v>
      </c>
      <c r="BI157" s="138">
        <f>IF(N157="nulová",J157,0)</f>
        <v>0</v>
      </c>
      <c r="BJ157" s="15" t="s">
        <v>143</v>
      </c>
      <c r="BK157" s="138">
        <f>ROUND(I157*H157,2)</f>
        <v>85320</v>
      </c>
      <c r="BL157" s="15" t="s">
        <v>149</v>
      </c>
      <c r="BM157" s="137" t="s">
        <v>1234</v>
      </c>
    </row>
    <row r="158" spans="2:65" s="1" customFormat="1" ht="21.75" customHeight="1">
      <c r="B158" s="126"/>
      <c r="C158" s="139" t="s">
        <v>159</v>
      </c>
      <c r="D158" s="139" t="s">
        <v>207</v>
      </c>
      <c r="E158" s="140" t="s">
        <v>1235</v>
      </c>
      <c r="F158" s="141" t="s">
        <v>1236</v>
      </c>
      <c r="G158" s="142" t="s">
        <v>193</v>
      </c>
      <c r="H158" s="143">
        <v>367.2</v>
      </c>
      <c r="I158" s="144">
        <v>205</v>
      </c>
      <c r="J158" s="144">
        <f>ROUND(I158*H158,2)</f>
        <v>75276</v>
      </c>
      <c r="K158" s="141" t="s">
        <v>148</v>
      </c>
      <c r="L158" s="145"/>
      <c r="M158" s="146" t="s">
        <v>1</v>
      </c>
      <c r="N158" s="147" t="s">
        <v>39</v>
      </c>
      <c r="O158" s="135">
        <v>0</v>
      </c>
      <c r="P158" s="135">
        <f>O158*H158</f>
        <v>0</v>
      </c>
      <c r="Q158" s="135">
        <v>4.8000000000000001E-2</v>
      </c>
      <c r="R158" s="135">
        <f>Q158*H158</f>
        <v>17.625599999999999</v>
      </c>
      <c r="S158" s="135">
        <v>0</v>
      </c>
      <c r="T158" s="136">
        <f>S158*H158</f>
        <v>0</v>
      </c>
      <c r="AR158" s="137" t="s">
        <v>172</v>
      </c>
      <c r="AT158" s="137" t="s">
        <v>207</v>
      </c>
      <c r="AU158" s="137" t="s">
        <v>143</v>
      </c>
      <c r="AY158" s="15" t="s">
        <v>141</v>
      </c>
      <c r="BE158" s="138">
        <f>IF(N158="základní",J158,0)</f>
        <v>0</v>
      </c>
      <c r="BF158" s="138">
        <f>IF(N158="snížená",J158,0)</f>
        <v>75276</v>
      </c>
      <c r="BG158" s="138">
        <f>IF(N158="zákl. přenesená",J158,0)</f>
        <v>0</v>
      </c>
      <c r="BH158" s="138">
        <f>IF(N158="sníž. přenesená",J158,0)</f>
        <v>0</v>
      </c>
      <c r="BI158" s="138">
        <f>IF(N158="nulová",J158,0)</f>
        <v>0</v>
      </c>
      <c r="BJ158" s="15" t="s">
        <v>143</v>
      </c>
      <c r="BK158" s="138">
        <f>ROUND(I158*H158,2)</f>
        <v>75276</v>
      </c>
      <c r="BL158" s="15" t="s">
        <v>149</v>
      </c>
      <c r="BM158" s="137" t="s">
        <v>1237</v>
      </c>
    </row>
    <row r="159" spans="2:65" s="12" customFormat="1">
      <c r="B159" s="148"/>
      <c r="D159" s="149" t="s">
        <v>363</v>
      </c>
      <c r="F159" s="150" t="s">
        <v>1238</v>
      </c>
      <c r="H159" s="151">
        <v>367.2</v>
      </c>
      <c r="L159" s="148"/>
      <c r="M159" s="152"/>
      <c r="T159" s="153"/>
      <c r="AT159" s="154" t="s">
        <v>363</v>
      </c>
      <c r="AU159" s="154" t="s">
        <v>143</v>
      </c>
      <c r="AV159" s="12" t="s">
        <v>143</v>
      </c>
      <c r="AW159" s="12" t="s">
        <v>3</v>
      </c>
      <c r="AX159" s="12" t="s">
        <v>81</v>
      </c>
      <c r="AY159" s="154" t="s">
        <v>141</v>
      </c>
    </row>
    <row r="160" spans="2:65" s="1" customFormat="1" ht="24.2" customHeight="1">
      <c r="B160" s="126"/>
      <c r="C160" s="127" t="s">
        <v>190</v>
      </c>
      <c r="D160" s="127" t="s">
        <v>144</v>
      </c>
      <c r="E160" s="128" t="s">
        <v>1239</v>
      </c>
      <c r="F160" s="129" t="s">
        <v>1240</v>
      </c>
      <c r="G160" s="130" t="s">
        <v>157</v>
      </c>
      <c r="H160" s="131">
        <v>650</v>
      </c>
      <c r="I160" s="132">
        <v>121</v>
      </c>
      <c r="J160" s="132">
        <f>ROUND(I160*H160,2)</f>
        <v>78650</v>
      </c>
      <c r="K160" s="129" t="s">
        <v>148</v>
      </c>
      <c r="L160" s="27"/>
      <c r="M160" s="133" t="s">
        <v>1</v>
      </c>
      <c r="N160" s="134" t="s">
        <v>39</v>
      </c>
      <c r="O160" s="135">
        <v>0.08</v>
      </c>
      <c r="P160" s="135">
        <f>O160*H160</f>
        <v>52</v>
      </c>
      <c r="Q160" s="135">
        <v>1.0200000000000001E-3</v>
      </c>
      <c r="R160" s="135">
        <f>Q160*H160</f>
        <v>0.66300000000000003</v>
      </c>
      <c r="S160" s="135">
        <v>0</v>
      </c>
      <c r="T160" s="136">
        <f>S160*H160</f>
        <v>0</v>
      </c>
      <c r="AR160" s="137" t="s">
        <v>149</v>
      </c>
      <c r="AT160" s="137" t="s">
        <v>144</v>
      </c>
      <c r="AU160" s="137" t="s">
        <v>143</v>
      </c>
      <c r="AY160" s="15" t="s">
        <v>141</v>
      </c>
      <c r="BE160" s="138">
        <f>IF(N160="základní",J160,0)</f>
        <v>0</v>
      </c>
      <c r="BF160" s="138">
        <f>IF(N160="snížená",J160,0)</f>
        <v>78650</v>
      </c>
      <c r="BG160" s="138">
        <f>IF(N160="zákl. přenesená",J160,0)</f>
        <v>0</v>
      </c>
      <c r="BH160" s="138">
        <f>IF(N160="sníž. přenesená",J160,0)</f>
        <v>0</v>
      </c>
      <c r="BI160" s="138">
        <f>IF(N160="nulová",J160,0)</f>
        <v>0</v>
      </c>
      <c r="BJ160" s="15" t="s">
        <v>143</v>
      </c>
      <c r="BK160" s="138">
        <f>ROUND(I160*H160,2)</f>
        <v>78650</v>
      </c>
      <c r="BL160" s="15" t="s">
        <v>149</v>
      </c>
      <c r="BM160" s="137" t="s">
        <v>1241</v>
      </c>
    </row>
    <row r="161" spans="2:65" s="1" customFormat="1" ht="24.2" customHeight="1">
      <c r="B161" s="126"/>
      <c r="C161" s="127" t="s">
        <v>195</v>
      </c>
      <c r="D161" s="127" t="s">
        <v>144</v>
      </c>
      <c r="E161" s="128" t="s">
        <v>1242</v>
      </c>
      <c r="F161" s="129" t="s">
        <v>1243</v>
      </c>
      <c r="G161" s="130" t="s">
        <v>157</v>
      </c>
      <c r="H161" s="131">
        <v>1550</v>
      </c>
      <c r="I161" s="132">
        <v>179</v>
      </c>
      <c r="J161" s="132">
        <f>ROUND(I161*H161,2)</f>
        <v>277450</v>
      </c>
      <c r="K161" s="129" t="s">
        <v>148</v>
      </c>
      <c r="L161" s="27"/>
      <c r="M161" s="155" t="s">
        <v>1</v>
      </c>
      <c r="N161" s="156" t="s">
        <v>39</v>
      </c>
      <c r="O161" s="157">
        <v>0.08</v>
      </c>
      <c r="P161" s="157">
        <f>O161*H161</f>
        <v>124</v>
      </c>
      <c r="Q161" s="157">
        <v>1.4599999999999999E-3</v>
      </c>
      <c r="R161" s="157">
        <f>Q161*H161</f>
        <v>2.2629999999999999</v>
      </c>
      <c r="S161" s="157">
        <v>0</v>
      </c>
      <c r="T161" s="158">
        <f>S161*H161</f>
        <v>0</v>
      </c>
      <c r="AR161" s="137" t="s">
        <v>149</v>
      </c>
      <c r="AT161" s="137" t="s">
        <v>144</v>
      </c>
      <c r="AU161" s="137" t="s">
        <v>143</v>
      </c>
      <c r="AY161" s="15" t="s">
        <v>141</v>
      </c>
      <c r="BE161" s="138">
        <f>IF(N161="základní",J161,0)</f>
        <v>0</v>
      </c>
      <c r="BF161" s="138">
        <f>IF(N161="snížená",J161,0)</f>
        <v>277450</v>
      </c>
      <c r="BG161" s="138">
        <f>IF(N161="zákl. přenesená",J161,0)</f>
        <v>0</v>
      </c>
      <c r="BH161" s="138">
        <f>IF(N161="sníž. přenesená",J161,0)</f>
        <v>0</v>
      </c>
      <c r="BI161" s="138">
        <f>IF(N161="nulová",J161,0)</f>
        <v>0</v>
      </c>
      <c r="BJ161" s="15" t="s">
        <v>143</v>
      </c>
      <c r="BK161" s="138">
        <f>ROUND(I161*H161,2)</f>
        <v>277450</v>
      </c>
      <c r="BL161" s="15" t="s">
        <v>149</v>
      </c>
      <c r="BM161" s="137" t="s">
        <v>1244</v>
      </c>
    </row>
    <row r="162" spans="2:65" s="1" customFormat="1" ht="6.95" customHeight="1">
      <c r="B162" s="39"/>
      <c r="C162" s="40"/>
      <c r="D162" s="40"/>
      <c r="E162" s="40"/>
      <c r="F162" s="40"/>
      <c r="G162" s="40"/>
      <c r="H162" s="40"/>
      <c r="I162" s="40"/>
      <c r="J162" s="40"/>
      <c r="K162" s="40"/>
      <c r="L162" s="27"/>
    </row>
  </sheetData>
  <autoFilter ref="C120:K161" xr:uid="{00000000-0009-0000-0000-000003000000}"/>
  <mergeCells count="8">
    <mergeCell ref="E111:H111"/>
    <mergeCell ref="E113:H113"/>
    <mergeCell ref="L2:V2"/>
    <mergeCell ref="E7:H7"/>
    <mergeCell ref="E9:H9"/>
    <mergeCell ref="E27:H27"/>
    <mergeCell ref="E85:H85"/>
    <mergeCell ref="E87:H87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442"/>
  <sheetViews>
    <sheetView showGridLines="0" topLeftCell="A315" workbookViewId="0">
      <selection activeCell="I329" sqref="I329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69" t="s">
        <v>5</v>
      </c>
      <c r="M2" s="250"/>
      <c r="N2" s="250"/>
      <c r="O2" s="250"/>
      <c r="P2" s="250"/>
      <c r="Q2" s="250"/>
      <c r="R2" s="250"/>
      <c r="S2" s="250"/>
      <c r="T2" s="250"/>
      <c r="U2" s="250"/>
      <c r="V2" s="250"/>
      <c r="AT2" s="15" t="s">
        <v>82</v>
      </c>
    </row>
    <row r="3" spans="2:46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81</v>
      </c>
    </row>
    <row r="4" spans="2:46" ht="24.95" customHeight="1">
      <c r="B4" s="18"/>
      <c r="D4" s="19" t="s">
        <v>89</v>
      </c>
      <c r="L4" s="18"/>
      <c r="M4" s="83" t="s">
        <v>10</v>
      </c>
      <c r="AT4" s="15" t="s">
        <v>3</v>
      </c>
    </row>
    <row r="5" spans="2:46" ht="6.95" customHeight="1">
      <c r="B5" s="18"/>
      <c r="L5" s="18"/>
    </row>
    <row r="6" spans="2:46" ht="12" customHeight="1">
      <c r="B6" s="18"/>
      <c r="D6" s="24" t="s">
        <v>14</v>
      </c>
      <c r="L6" s="18"/>
    </row>
    <row r="7" spans="2:46" ht="16.5" customHeight="1">
      <c r="B7" s="18"/>
      <c r="E7" s="283" t="str">
        <f>'Rekapitulace stavby'!K6</f>
        <v>Komunitní sociální služby DOZP</v>
      </c>
      <c r="F7" s="284"/>
      <c r="G7" s="284"/>
      <c r="H7" s="284"/>
      <c r="L7" s="18"/>
    </row>
    <row r="8" spans="2:46" s="1" customFormat="1" ht="12" customHeight="1">
      <c r="B8" s="27"/>
      <c r="D8" s="24" t="s">
        <v>90</v>
      </c>
      <c r="L8" s="27"/>
    </row>
    <row r="9" spans="2:46" s="1" customFormat="1" ht="16.5" customHeight="1">
      <c r="B9" s="27"/>
      <c r="E9" s="270" t="s">
        <v>91</v>
      </c>
      <c r="F9" s="285"/>
      <c r="G9" s="285"/>
      <c r="H9" s="285"/>
      <c r="L9" s="27"/>
    </row>
    <row r="10" spans="2:46" s="1" customFormat="1">
      <c r="B10" s="27"/>
      <c r="L10" s="27"/>
    </row>
    <row r="11" spans="2:46" s="1" customFormat="1" ht="12" customHeight="1">
      <c r="B11" s="27"/>
      <c r="D11" s="24" t="s">
        <v>16</v>
      </c>
      <c r="F11" s="22" t="s">
        <v>1</v>
      </c>
      <c r="I11" s="24" t="s">
        <v>17</v>
      </c>
      <c r="J11" s="22" t="s">
        <v>1</v>
      </c>
      <c r="L11" s="27"/>
    </row>
    <row r="12" spans="2:46" s="1" customFormat="1" ht="12" customHeight="1">
      <c r="B12" s="27"/>
      <c r="D12" s="24" t="s">
        <v>18</v>
      </c>
      <c r="F12" s="22" t="s">
        <v>19</v>
      </c>
      <c r="I12" s="24" t="s">
        <v>20</v>
      </c>
      <c r="J12" s="47">
        <f>'Rekapitulace stavby'!AN8</f>
        <v>44910</v>
      </c>
      <c r="L12" s="27"/>
    </row>
    <row r="13" spans="2:46" s="1" customFormat="1" ht="10.9" customHeight="1">
      <c r="B13" s="27"/>
      <c r="L13" s="27"/>
    </row>
    <row r="14" spans="2:46" s="1" customFormat="1" ht="12" customHeight="1">
      <c r="B14" s="27"/>
      <c r="D14" s="24" t="s">
        <v>21</v>
      </c>
      <c r="I14" s="24" t="s">
        <v>22</v>
      </c>
      <c r="J14" s="22" t="s">
        <v>1</v>
      </c>
      <c r="L14" s="27"/>
    </row>
    <row r="15" spans="2:46" s="1" customFormat="1" ht="18" customHeight="1">
      <c r="B15" s="27"/>
      <c r="E15" s="22" t="s">
        <v>23</v>
      </c>
      <c r="I15" s="24" t="s">
        <v>24</v>
      </c>
      <c r="J15" s="22" t="s">
        <v>1</v>
      </c>
      <c r="L15" s="27"/>
    </row>
    <row r="16" spans="2:46" s="1" customFormat="1" ht="6.95" customHeight="1">
      <c r="B16" s="27"/>
      <c r="L16" s="27"/>
    </row>
    <row r="17" spans="2:12" s="1" customFormat="1" ht="12" customHeight="1">
      <c r="B17" s="27"/>
      <c r="D17" s="24" t="s">
        <v>25</v>
      </c>
      <c r="I17" s="24" t="s">
        <v>22</v>
      </c>
      <c r="J17" s="22" t="s">
        <v>1</v>
      </c>
      <c r="L17" s="27"/>
    </row>
    <row r="18" spans="2:12" s="1" customFormat="1" ht="18" customHeight="1">
      <c r="B18" s="27"/>
      <c r="E18" s="22" t="s">
        <v>26</v>
      </c>
      <c r="I18" s="24" t="s">
        <v>24</v>
      </c>
      <c r="J18" s="22" t="s">
        <v>1</v>
      </c>
      <c r="L18" s="27"/>
    </row>
    <row r="19" spans="2:12" s="1" customFormat="1" ht="6.95" customHeight="1">
      <c r="B19" s="27"/>
      <c r="L19" s="27"/>
    </row>
    <row r="20" spans="2:12" s="1" customFormat="1" ht="12" customHeight="1">
      <c r="B20" s="27"/>
      <c r="D20" s="24" t="s">
        <v>27</v>
      </c>
      <c r="I20" s="24" t="s">
        <v>22</v>
      </c>
      <c r="J20" s="22" t="s">
        <v>1</v>
      </c>
      <c r="L20" s="27"/>
    </row>
    <row r="21" spans="2:12" s="1" customFormat="1" ht="18" customHeight="1">
      <c r="B21" s="27"/>
      <c r="E21" s="22" t="s">
        <v>28</v>
      </c>
      <c r="I21" s="24" t="s">
        <v>24</v>
      </c>
      <c r="J21" s="22" t="s">
        <v>1</v>
      </c>
      <c r="L21" s="27"/>
    </row>
    <row r="22" spans="2:12" s="1" customFormat="1" ht="6.95" customHeight="1">
      <c r="B22" s="27"/>
      <c r="L22" s="27"/>
    </row>
    <row r="23" spans="2:12" s="1" customFormat="1" ht="12" customHeight="1">
      <c r="B23" s="27"/>
      <c r="D23" s="24" t="s">
        <v>30</v>
      </c>
      <c r="I23" s="24" t="s">
        <v>22</v>
      </c>
      <c r="J23" s="22" t="s">
        <v>1</v>
      </c>
      <c r="L23" s="27"/>
    </row>
    <row r="24" spans="2:12" s="1" customFormat="1" ht="18" customHeight="1">
      <c r="B24" s="27"/>
      <c r="E24" s="22" t="s">
        <v>31</v>
      </c>
      <c r="I24" s="24" t="s">
        <v>24</v>
      </c>
      <c r="J24" s="22" t="s">
        <v>1</v>
      </c>
      <c r="L24" s="27"/>
    </row>
    <row r="25" spans="2:12" s="1" customFormat="1" ht="6.95" customHeight="1">
      <c r="B25" s="27"/>
      <c r="L25" s="27"/>
    </row>
    <row r="26" spans="2:12" s="1" customFormat="1" ht="12" customHeight="1">
      <c r="B26" s="27"/>
      <c r="D26" s="24" t="s">
        <v>32</v>
      </c>
      <c r="L26" s="27"/>
    </row>
    <row r="27" spans="2:12" s="7" customFormat="1" ht="16.5" customHeight="1">
      <c r="B27" s="84"/>
      <c r="E27" s="252" t="s">
        <v>1</v>
      </c>
      <c r="F27" s="252"/>
      <c r="G27" s="252"/>
      <c r="H27" s="252"/>
      <c r="L27" s="84"/>
    </row>
    <row r="28" spans="2:12" s="1" customFormat="1" ht="6.95" customHeight="1">
      <c r="B28" s="27"/>
      <c r="L28" s="27"/>
    </row>
    <row r="29" spans="2:12" s="1" customFormat="1" ht="6.95" customHeight="1">
      <c r="B29" s="27"/>
      <c r="D29" s="48"/>
      <c r="E29" s="48"/>
      <c r="F29" s="48"/>
      <c r="G29" s="48"/>
      <c r="H29" s="48"/>
      <c r="I29" s="48"/>
      <c r="J29" s="48"/>
      <c r="K29" s="48"/>
      <c r="L29" s="27"/>
    </row>
    <row r="30" spans="2:12" s="1" customFormat="1" ht="25.35" customHeight="1">
      <c r="B30" s="27"/>
      <c r="D30" s="85" t="s">
        <v>33</v>
      </c>
      <c r="J30" s="61">
        <f>ROUND(J145, 2)</f>
        <v>58140642.450000003</v>
      </c>
      <c r="L30" s="27"/>
    </row>
    <row r="31" spans="2:12" s="1" customFormat="1" ht="6.95" customHeight="1">
      <c r="B31" s="27"/>
      <c r="D31" s="48"/>
      <c r="E31" s="48"/>
      <c r="F31" s="48"/>
      <c r="G31" s="48"/>
      <c r="H31" s="48"/>
      <c r="I31" s="48"/>
      <c r="J31" s="48"/>
      <c r="K31" s="48"/>
      <c r="L31" s="27"/>
    </row>
    <row r="32" spans="2:12" s="1" customFormat="1" ht="14.45" customHeight="1">
      <c r="B32" s="27"/>
      <c r="F32" s="30" t="s">
        <v>35</v>
      </c>
      <c r="I32" s="30" t="s">
        <v>34</v>
      </c>
      <c r="J32" s="30" t="s">
        <v>36</v>
      </c>
      <c r="L32" s="27"/>
    </row>
    <row r="33" spans="2:12" s="1" customFormat="1" ht="14.45" customHeight="1">
      <c r="B33" s="27"/>
      <c r="D33" s="50" t="s">
        <v>37</v>
      </c>
      <c r="E33" s="24" t="s">
        <v>38</v>
      </c>
      <c r="F33" s="86">
        <f>ROUND((SUM(BE145:BE441)),  2)</f>
        <v>0</v>
      </c>
      <c r="I33" s="87">
        <v>0.21</v>
      </c>
      <c r="J33" s="86">
        <f>ROUND(((SUM(BE145:BE441))*I33),  2)</f>
        <v>0</v>
      </c>
      <c r="L33" s="27"/>
    </row>
    <row r="34" spans="2:12" s="1" customFormat="1" ht="14.45" customHeight="1">
      <c r="B34" s="27"/>
      <c r="E34" s="24" t="s">
        <v>39</v>
      </c>
      <c r="F34" s="86">
        <f>ROUND((SUM(BF145:BF441)),  2)</f>
        <v>58140642.450000003</v>
      </c>
      <c r="I34" s="87">
        <v>0.15</v>
      </c>
      <c r="J34" s="86">
        <f>ROUND(((SUM(BF145:BF441))*I34),  2)</f>
        <v>8721096.3699999992</v>
      </c>
      <c r="L34" s="27"/>
    </row>
    <row r="35" spans="2:12" s="1" customFormat="1" ht="14.45" hidden="1" customHeight="1">
      <c r="B35" s="27"/>
      <c r="E35" s="24" t="s">
        <v>40</v>
      </c>
      <c r="F35" s="86">
        <f>ROUND((SUM(BG145:BG441)),  2)</f>
        <v>0</v>
      </c>
      <c r="I35" s="87">
        <v>0.21</v>
      </c>
      <c r="J35" s="86">
        <f>0</f>
        <v>0</v>
      </c>
      <c r="L35" s="27"/>
    </row>
    <row r="36" spans="2:12" s="1" customFormat="1" ht="14.45" hidden="1" customHeight="1">
      <c r="B36" s="27"/>
      <c r="E36" s="24" t="s">
        <v>41</v>
      </c>
      <c r="F36" s="86">
        <f>ROUND((SUM(BH145:BH441)),  2)</f>
        <v>0</v>
      </c>
      <c r="I36" s="87">
        <v>0.15</v>
      </c>
      <c r="J36" s="86">
        <f>0</f>
        <v>0</v>
      </c>
      <c r="L36" s="27"/>
    </row>
    <row r="37" spans="2:12" s="1" customFormat="1" ht="14.45" hidden="1" customHeight="1">
      <c r="B37" s="27"/>
      <c r="E37" s="24" t="s">
        <v>42</v>
      </c>
      <c r="F37" s="86">
        <f>ROUND((SUM(BI145:BI441)),  2)</f>
        <v>0</v>
      </c>
      <c r="I37" s="87">
        <v>0</v>
      </c>
      <c r="J37" s="86">
        <f>0</f>
        <v>0</v>
      </c>
      <c r="L37" s="27"/>
    </row>
    <row r="38" spans="2:12" s="1" customFormat="1" ht="6.95" customHeight="1">
      <c r="B38" s="27"/>
      <c r="L38" s="27"/>
    </row>
    <row r="39" spans="2:12" s="1" customFormat="1" ht="25.35" customHeight="1">
      <c r="B39" s="27"/>
      <c r="C39" s="88"/>
      <c r="D39" s="89" t="s">
        <v>43</v>
      </c>
      <c r="E39" s="52"/>
      <c r="F39" s="52"/>
      <c r="G39" s="90" t="s">
        <v>44</v>
      </c>
      <c r="H39" s="91" t="s">
        <v>45</v>
      </c>
      <c r="I39" s="52"/>
      <c r="J39" s="92">
        <f>SUM(J30:J37)</f>
        <v>66861738.82</v>
      </c>
      <c r="K39" s="93"/>
      <c r="L39" s="27"/>
    </row>
    <row r="40" spans="2:12" s="1" customFormat="1" ht="14.45" customHeight="1">
      <c r="B40" s="27"/>
      <c r="L40" s="27"/>
    </row>
    <row r="41" spans="2:12" ht="14.45" customHeight="1">
      <c r="B41" s="18"/>
      <c r="L41" s="18"/>
    </row>
    <row r="42" spans="2:12" ht="14.45" customHeight="1">
      <c r="B42" s="18"/>
      <c r="L42" s="18"/>
    </row>
    <row r="43" spans="2:12" ht="14.45" customHeight="1">
      <c r="B43" s="18"/>
      <c r="L43" s="18"/>
    </row>
    <row r="44" spans="2:12" ht="14.45" customHeight="1">
      <c r="B44" s="18"/>
      <c r="L44" s="18"/>
    </row>
    <row r="45" spans="2:12" ht="14.45" customHeight="1">
      <c r="B45" s="18"/>
      <c r="L45" s="18"/>
    </row>
    <row r="46" spans="2:12" ht="14.45" customHeight="1">
      <c r="B46" s="18"/>
      <c r="L46" s="18"/>
    </row>
    <row r="47" spans="2:12" ht="14.45" customHeight="1">
      <c r="B47" s="18"/>
      <c r="L47" s="18"/>
    </row>
    <row r="48" spans="2:12" ht="14.45" customHeight="1">
      <c r="B48" s="18"/>
      <c r="L48" s="18"/>
    </row>
    <row r="49" spans="2:12" ht="14.45" customHeight="1">
      <c r="B49" s="18"/>
      <c r="L49" s="18"/>
    </row>
    <row r="50" spans="2:12" s="1" customFormat="1" ht="14.45" customHeight="1">
      <c r="B50" s="27"/>
      <c r="D50" s="36" t="s">
        <v>46</v>
      </c>
      <c r="E50" s="37"/>
      <c r="F50" s="37"/>
      <c r="G50" s="36" t="s">
        <v>47</v>
      </c>
      <c r="H50" s="37"/>
      <c r="I50" s="37"/>
      <c r="J50" s="37"/>
      <c r="K50" s="37"/>
      <c r="L50" s="27"/>
    </row>
    <row r="51" spans="2:12">
      <c r="B51" s="18"/>
      <c r="L51" s="18"/>
    </row>
    <row r="52" spans="2:12">
      <c r="B52" s="18"/>
      <c r="L52" s="18"/>
    </row>
    <row r="53" spans="2:12">
      <c r="B53" s="18"/>
      <c r="L53" s="18"/>
    </row>
    <row r="54" spans="2:12">
      <c r="B54" s="18"/>
      <c r="L54" s="18"/>
    </row>
    <row r="55" spans="2:12">
      <c r="B55" s="18"/>
      <c r="L55" s="18"/>
    </row>
    <row r="56" spans="2:12">
      <c r="B56" s="18"/>
      <c r="L56" s="18"/>
    </row>
    <row r="57" spans="2:12">
      <c r="B57" s="18"/>
      <c r="L57" s="18"/>
    </row>
    <row r="58" spans="2:12">
      <c r="B58" s="18"/>
      <c r="L58" s="18"/>
    </row>
    <row r="59" spans="2:12">
      <c r="B59" s="18"/>
      <c r="L59" s="18"/>
    </row>
    <row r="60" spans="2:12">
      <c r="B60" s="18"/>
      <c r="L60" s="18"/>
    </row>
    <row r="61" spans="2:12" s="1" customFormat="1" ht="12.75">
      <c r="B61" s="27"/>
      <c r="D61" s="38" t="s">
        <v>48</v>
      </c>
      <c r="E61" s="29"/>
      <c r="F61" s="94" t="s">
        <v>49</v>
      </c>
      <c r="G61" s="38" t="s">
        <v>48</v>
      </c>
      <c r="H61" s="29"/>
      <c r="I61" s="29"/>
      <c r="J61" s="95" t="s">
        <v>49</v>
      </c>
      <c r="K61" s="29"/>
      <c r="L61" s="27"/>
    </row>
    <row r="62" spans="2:12">
      <c r="B62" s="18"/>
      <c r="L62" s="18"/>
    </row>
    <row r="63" spans="2:12">
      <c r="B63" s="18"/>
      <c r="L63" s="18"/>
    </row>
    <row r="64" spans="2:12">
      <c r="B64" s="18"/>
      <c r="L64" s="18"/>
    </row>
    <row r="65" spans="2:12" s="1" customFormat="1" ht="12.75">
      <c r="B65" s="27"/>
      <c r="D65" s="36" t="s">
        <v>50</v>
      </c>
      <c r="E65" s="37"/>
      <c r="F65" s="37"/>
      <c r="G65" s="36" t="s">
        <v>51</v>
      </c>
      <c r="H65" s="37"/>
      <c r="I65" s="37"/>
      <c r="J65" s="37"/>
      <c r="K65" s="37"/>
      <c r="L65" s="27"/>
    </row>
    <row r="66" spans="2:12">
      <c r="B66" s="18"/>
      <c r="L66" s="18"/>
    </row>
    <row r="67" spans="2:12">
      <c r="B67" s="18"/>
      <c r="L67" s="18"/>
    </row>
    <row r="68" spans="2:12">
      <c r="B68" s="18"/>
      <c r="L68" s="18"/>
    </row>
    <row r="69" spans="2:12">
      <c r="B69" s="18"/>
      <c r="L69" s="18"/>
    </row>
    <row r="70" spans="2:12">
      <c r="B70" s="18"/>
      <c r="L70" s="18"/>
    </row>
    <row r="71" spans="2:12">
      <c r="B71" s="18"/>
      <c r="L71" s="18"/>
    </row>
    <row r="72" spans="2:12">
      <c r="B72" s="18"/>
      <c r="L72" s="18"/>
    </row>
    <row r="73" spans="2:12">
      <c r="B73" s="18"/>
      <c r="L73" s="18"/>
    </row>
    <row r="74" spans="2:12">
      <c r="B74" s="18"/>
      <c r="L74" s="18"/>
    </row>
    <row r="75" spans="2:12">
      <c r="B75" s="18"/>
      <c r="L75" s="18"/>
    </row>
    <row r="76" spans="2:12" s="1" customFormat="1" ht="12.75">
      <c r="B76" s="27"/>
      <c r="D76" s="38" t="s">
        <v>48</v>
      </c>
      <c r="E76" s="29"/>
      <c r="F76" s="94" t="s">
        <v>49</v>
      </c>
      <c r="G76" s="38" t="s">
        <v>48</v>
      </c>
      <c r="H76" s="29"/>
      <c r="I76" s="29"/>
      <c r="J76" s="95" t="s">
        <v>49</v>
      </c>
      <c r="K76" s="29"/>
      <c r="L76" s="27"/>
    </row>
    <row r="77" spans="2:12" s="1" customFormat="1" ht="14.45" customHeight="1"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27"/>
    </row>
    <row r="81" spans="2:47" s="1" customFormat="1" ht="6.95" customHeight="1"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27"/>
    </row>
    <row r="82" spans="2:47" s="1" customFormat="1" ht="24.95" customHeight="1">
      <c r="B82" s="27"/>
      <c r="C82" s="19" t="s">
        <v>92</v>
      </c>
      <c r="L82" s="27"/>
    </row>
    <row r="83" spans="2:47" s="1" customFormat="1" ht="6.95" customHeight="1">
      <c r="B83" s="27"/>
      <c r="L83" s="27"/>
    </row>
    <row r="84" spans="2:47" s="1" customFormat="1" ht="12" customHeight="1">
      <c r="B84" s="27"/>
      <c r="C84" s="24" t="s">
        <v>14</v>
      </c>
      <c r="L84" s="27"/>
    </row>
    <row r="85" spans="2:47" s="1" customFormat="1" ht="16.5" customHeight="1">
      <c r="B85" s="27"/>
      <c r="E85" s="283" t="str">
        <f>E7</f>
        <v>Komunitní sociální služby DOZP</v>
      </c>
      <c r="F85" s="284"/>
      <c r="G85" s="284"/>
      <c r="H85" s="284"/>
      <c r="L85" s="27"/>
    </row>
    <row r="86" spans="2:47" s="1" customFormat="1" ht="12" customHeight="1">
      <c r="B86" s="27"/>
      <c r="C86" s="24" t="s">
        <v>90</v>
      </c>
      <c r="L86" s="27"/>
    </row>
    <row r="87" spans="2:47" s="1" customFormat="1" ht="16.5" customHeight="1">
      <c r="B87" s="27"/>
      <c r="E87" s="270" t="str">
        <f>E9</f>
        <v>JC-A - Objekt A</v>
      </c>
      <c r="F87" s="285"/>
      <c r="G87" s="285"/>
      <c r="H87" s="285"/>
      <c r="L87" s="27"/>
    </row>
    <row r="88" spans="2:47" s="1" customFormat="1" ht="6.95" customHeight="1">
      <c r="B88" s="27"/>
      <c r="L88" s="27"/>
    </row>
    <row r="89" spans="2:47" s="1" customFormat="1" ht="12" customHeight="1">
      <c r="B89" s="27"/>
      <c r="C89" s="24" t="s">
        <v>18</v>
      </c>
      <c r="F89" s="22" t="str">
        <f>F12</f>
        <v>Jičín parc. č.1628</v>
      </c>
      <c r="I89" s="24" t="s">
        <v>20</v>
      </c>
      <c r="J89" s="47">
        <f>IF(J12="","",J12)</f>
        <v>44910</v>
      </c>
      <c r="L89" s="27"/>
    </row>
    <row r="90" spans="2:47" s="1" customFormat="1" ht="6.95" customHeight="1">
      <c r="B90" s="27"/>
      <c r="L90" s="27"/>
    </row>
    <row r="91" spans="2:47" s="1" customFormat="1" ht="15.2" customHeight="1">
      <c r="B91" s="27"/>
      <c r="C91" s="24" t="s">
        <v>21</v>
      </c>
      <c r="F91" s="22" t="str">
        <f>E15</f>
        <v>Královéhradecký kraj</v>
      </c>
      <c r="I91" s="24" t="s">
        <v>27</v>
      </c>
      <c r="J91" s="25" t="str">
        <f>E21</f>
        <v>Ing.arch. Kušnierik</v>
      </c>
      <c r="L91" s="27"/>
    </row>
    <row r="92" spans="2:47" s="1" customFormat="1" ht="15.2" customHeight="1">
      <c r="B92" s="27"/>
      <c r="C92" s="24" t="s">
        <v>25</v>
      </c>
      <c r="F92" s="22" t="str">
        <f>IF(E18="","",E18)</f>
        <v>bude určen ve výběrovém řízení</v>
      </c>
      <c r="I92" s="24" t="s">
        <v>30</v>
      </c>
      <c r="J92" s="25" t="str">
        <f>E24</f>
        <v>Ing.Pavel Michálek</v>
      </c>
      <c r="L92" s="27"/>
    </row>
    <row r="93" spans="2:47" s="1" customFormat="1" ht="10.35" customHeight="1">
      <c r="B93" s="27"/>
      <c r="L93" s="27"/>
    </row>
    <row r="94" spans="2:47" s="1" customFormat="1" ht="29.25" customHeight="1">
      <c r="B94" s="27"/>
      <c r="C94" s="96" t="s">
        <v>93</v>
      </c>
      <c r="D94" s="88"/>
      <c r="E94" s="88"/>
      <c r="F94" s="88"/>
      <c r="G94" s="88"/>
      <c r="H94" s="88"/>
      <c r="I94" s="88"/>
      <c r="J94" s="97" t="s">
        <v>94</v>
      </c>
      <c r="K94" s="88"/>
      <c r="L94" s="27"/>
    </row>
    <row r="95" spans="2:47" s="1" customFormat="1" ht="10.35" customHeight="1">
      <c r="B95" s="27"/>
      <c r="L95" s="27"/>
    </row>
    <row r="96" spans="2:47" s="1" customFormat="1" ht="22.9" customHeight="1">
      <c r="B96" s="27"/>
      <c r="C96" s="98" t="s">
        <v>95</v>
      </c>
      <c r="J96" s="61">
        <f>J145</f>
        <v>58140642.449999988</v>
      </c>
      <c r="L96" s="27"/>
      <c r="AU96" s="15" t="s">
        <v>96</v>
      </c>
    </row>
    <row r="97" spans="2:12" s="8" customFormat="1" ht="24.95" customHeight="1">
      <c r="B97" s="99"/>
      <c r="D97" s="100" t="s">
        <v>97</v>
      </c>
      <c r="E97" s="101"/>
      <c r="F97" s="101"/>
      <c r="G97" s="101"/>
      <c r="H97" s="101"/>
      <c r="I97" s="101"/>
      <c r="J97" s="102">
        <f>J146</f>
        <v>25541727.049999997</v>
      </c>
      <c r="L97" s="99"/>
    </row>
    <row r="98" spans="2:12" s="9" customFormat="1" ht="19.899999999999999" customHeight="1">
      <c r="B98" s="103"/>
      <c r="D98" s="104" t="s">
        <v>98</v>
      </c>
      <c r="E98" s="105"/>
      <c r="F98" s="105"/>
      <c r="G98" s="105"/>
      <c r="H98" s="105"/>
      <c r="I98" s="105"/>
      <c r="J98" s="106">
        <f>J147</f>
        <v>2058762.79</v>
      </c>
      <c r="L98" s="103"/>
    </row>
    <row r="99" spans="2:12" s="9" customFormat="1" ht="19.899999999999999" customHeight="1">
      <c r="B99" s="103"/>
      <c r="D99" s="104" t="s">
        <v>99</v>
      </c>
      <c r="E99" s="105"/>
      <c r="F99" s="105"/>
      <c r="G99" s="105"/>
      <c r="H99" s="105"/>
      <c r="I99" s="105"/>
      <c r="J99" s="106">
        <f>J158</f>
        <v>6265726.21</v>
      </c>
      <c r="L99" s="103"/>
    </row>
    <row r="100" spans="2:12" s="9" customFormat="1" ht="19.899999999999999" customHeight="1">
      <c r="B100" s="103"/>
      <c r="D100" s="104" t="s">
        <v>100</v>
      </c>
      <c r="E100" s="105"/>
      <c r="F100" s="105"/>
      <c r="G100" s="105"/>
      <c r="H100" s="105"/>
      <c r="I100" s="105"/>
      <c r="J100" s="106">
        <f>J174</f>
        <v>3755802.09</v>
      </c>
      <c r="L100" s="103"/>
    </row>
    <row r="101" spans="2:12" s="9" customFormat="1" ht="19.899999999999999" customHeight="1">
      <c r="B101" s="103"/>
      <c r="D101" s="104" t="s">
        <v>101</v>
      </c>
      <c r="E101" s="105"/>
      <c r="F101" s="105"/>
      <c r="G101" s="105"/>
      <c r="H101" s="105"/>
      <c r="I101" s="105"/>
      <c r="J101" s="106">
        <f>J180</f>
        <v>4497232.4399999995</v>
      </c>
      <c r="L101" s="103"/>
    </row>
    <row r="102" spans="2:12" s="9" customFormat="1" ht="19.899999999999999" customHeight="1">
      <c r="B102" s="103"/>
      <c r="D102" s="104" t="s">
        <v>102</v>
      </c>
      <c r="E102" s="105"/>
      <c r="F102" s="105"/>
      <c r="G102" s="105"/>
      <c r="H102" s="105"/>
      <c r="I102" s="105"/>
      <c r="J102" s="106">
        <f>J196</f>
        <v>4586903.0500000007</v>
      </c>
      <c r="L102" s="103"/>
    </row>
    <row r="103" spans="2:12" s="9" customFormat="1" ht="19.899999999999999" customHeight="1">
      <c r="B103" s="103"/>
      <c r="D103" s="104" t="s">
        <v>103</v>
      </c>
      <c r="E103" s="105"/>
      <c r="F103" s="105"/>
      <c r="G103" s="105"/>
      <c r="H103" s="105"/>
      <c r="I103" s="105"/>
      <c r="J103" s="106">
        <f>J223</f>
        <v>3265549.09</v>
      </c>
      <c r="L103" s="103"/>
    </row>
    <row r="104" spans="2:12" s="9" customFormat="1" ht="19.899999999999999" customHeight="1">
      <c r="B104" s="103"/>
      <c r="D104" s="104" t="s">
        <v>104</v>
      </c>
      <c r="E104" s="105"/>
      <c r="F104" s="105"/>
      <c r="G104" s="105"/>
      <c r="H104" s="105"/>
      <c r="I104" s="105"/>
      <c r="J104" s="106">
        <f>J245</f>
        <v>1111751.3799999999</v>
      </c>
      <c r="L104" s="103"/>
    </row>
    <row r="105" spans="2:12" s="8" customFormat="1" ht="24.95" customHeight="1">
      <c r="B105" s="99"/>
      <c r="D105" s="100" t="s">
        <v>105</v>
      </c>
      <c r="E105" s="101"/>
      <c r="F105" s="101"/>
      <c r="G105" s="101"/>
      <c r="H105" s="101"/>
      <c r="I105" s="101"/>
      <c r="J105" s="102">
        <f>J247</f>
        <v>32495279.399999995</v>
      </c>
      <c r="L105" s="99"/>
    </row>
    <row r="106" spans="2:12" s="9" customFormat="1" ht="19.899999999999999" customHeight="1">
      <c r="B106" s="103"/>
      <c r="D106" s="104" t="s">
        <v>106</v>
      </c>
      <c r="E106" s="105"/>
      <c r="F106" s="105"/>
      <c r="G106" s="105"/>
      <c r="H106" s="105"/>
      <c r="I106" s="105"/>
      <c r="J106" s="106">
        <f>J248</f>
        <v>766734.01</v>
      </c>
      <c r="L106" s="103"/>
    </row>
    <row r="107" spans="2:12" s="9" customFormat="1" ht="19.899999999999999" customHeight="1">
      <c r="B107" s="103"/>
      <c r="D107" s="104" t="s">
        <v>107</v>
      </c>
      <c r="E107" s="105"/>
      <c r="F107" s="105"/>
      <c r="G107" s="105"/>
      <c r="H107" s="105"/>
      <c r="I107" s="105"/>
      <c r="J107" s="106">
        <f>J264</f>
        <v>173330.16</v>
      </c>
      <c r="L107" s="103"/>
    </row>
    <row r="108" spans="2:12" s="9" customFormat="1" ht="19.899999999999999" customHeight="1">
      <c r="B108" s="103"/>
      <c r="D108" s="104" t="s">
        <v>108</v>
      </c>
      <c r="E108" s="105"/>
      <c r="F108" s="105"/>
      <c r="G108" s="105"/>
      <c r="H108" s="105"/>
      <c r="I108" s="105"/>
      <c r="J108" s="106">
        <f>J284</f>
        <v>1929541.21</v>
      </c>
      <c r="L108" s="103"/>
    </row>
    <row r="109" spans="2:12" s="9" customFormat="1" ht="19.899999999999999" customHeight="1">
      <c r="B109" s="103"/>
      <c r="D109" s="104" t="s">
        <v>109</v>
      </c>
      <c r="E109" s="105"/>
      <c r="F109" s="105"/>
      <c r="G109" s="105"/>
      <c r="H109" s="105"/>
      <c r="I109" s="105"/>
      <c r="J109" s="106">
        <f>J317</f>
        <v>2113324.4500000002</v>
      </c>
      <c r="L109" s="103"/>
    </row>
    <row r="110" spans="2:12" s="9" customFormat="1" ht="19.899999999999999" customHeight="1">
      <c r="B110" s="103"/>
      <c r="D110" s="104" t="s">
        <v>110</v>
      </c>
      <c r="E110" s="105"/>
      <c r="F110" s="105"/>
      <c r="G110" s="105"/>
      <c r="H110" s="105"/>
      <c r="I110" s="105"/>
      <c r="J110" s="106">
        <f>J325</f>
        <v>2688427.17</v>
      </c>
      <c r="L110" s="103"/>
    </row>
    <row r="111" spans="2:12" s="9" customFormat="1" ht="19.899999999999999" customHeight="1">
      <c r="B111" s="103"/>
      <c r="D111" s="104" t="s">
        <v>111</v>
      </c>
      <c r="E111" s="105"/>
      <c r="F111" s="105"/>
      <c r="G111" s="105"/>
      <c r="H111" s="105"/>
      <c r="I111" s="105"/>
      <c r="J111" s="106">
        <f>J328</f>
        <v>9141410.6999999993</v>
      </c>
      <c r="L111" s="103"/>
    </row>
    <row r="112" spans="2:12" s="9" customFormat="1" ht="19.899999999999999" customHeight="1">
      <c r="B112" s="103"/>
      <c r="D112" s="104" t="s">
        <v>112</v>
      </c>
      <c r="E112" s="105"/>
      <c r="F112" s="105"/>
      <c r="G112" s="105"/>
      <c r="H112" s="105"/>
      <c r="I112" s="105"/>
      <c r="J112" s="106">
        <f>J330</f>
        <v>1077710.1299999999</v>
      </c>
      <c r="L112" s="103"/>
    </row>
    <row r="113" spans="2:12" s="9" customFormat="1" ht="19.899999999999999" customHeight="1">
      <c r="B113" s="103"/>
      <c r="D113" s="104" t="s">
        <v>113</v>
      </c>
      <c r="E113" s="105"/>
      <c r="F113" s="105"/>
      <c r="G113" s="105"/>
      <c r="H113" s="105"/>
      <c r="I113" s="105"/>
      <c r="J113" s="106">
        <f>J333</f>
        <v>1537541.26</v>
      </c>
      <c r="L113" s="103"/>
    </row>
    <row r="114" spans="2:12" s="9" customFormat="1" ht="19.899999999999999" customHeight="1">
      <c r="B114" s="103"/>
      <c r="D114" s="104" t="s">
        <v>114</v>
      </c>
      <c r="E114" s="105"/>
      <c r="F114" s="105"/>
      <c r="G114" s="105"/>
      <c r="H114" s="105"/>
      <c r="I114" s="105"/>
      <c r="J114" s="106">
        <f>J350</f>
        <v>1153124.81</v>
      </c>
      <c r="L114" s="103"/>
    </row>
    <row r="115" spans="2:12" s="9" customFormat="1" ht="19.899999999999999" customHeight="1">
      <c r="B115" s="103"/>
      <c r="D115" s="104" t="s">
        <v>115</v>
      </c>
      <c r="E115" s="105"/>
      <c r="F115" s="105"/>
      <c r="G115" s="105"/>
      <c r="H115" s="105"/>
      <c r="I115" s="105"/>
      <c r="J115" s="106">
        <f>J356</f>
        <v>2127601.6799999997</v>
      </c>
      <c r="L115" s="103"/>
    </row>
    <row r="116" spans="2:12" s="9" customFormat="1" ht="19.899999999999999" customHeight="1">
      <c r="B116" s="103"/>
      <c r="D116" s="104" t="s">
        <v>116</v>
      </c>
      <c r="E116" s="105"/>
      <c r="F116" s="105"/>
      <c r="G116" s="105"/>
      <c r="H116" s="105"/>
      <c r="I116" s="105"/>
      <c r="J116" s="106">
        <f>J370</f>
        <v>1251281.45</v>
      </c>
      <c r="L116" s="103"/>
    </row>
    <row r="117" spans="2:12" s="9" customFormat="1" ht="19.899999999999999" customHeight="1">
      <c r="B117" s="103"/>
      <c r="D117" s="104" t="s">
        <v>117</v>
      </c>
      <c r="E117" s="105"/>
      <c r="F117" s="105"/>
      <c r="G117" s="105"/>
      <c r="H117" s="105"/>
      <c r="I117" s="105"/>
      <c r="J117" s="106">
        <f>J383</f>
        <v>6035493.040000001</v>
      </c>
      <c r="L117" s="103"/>
    </row>
    <row r="118" spans="2:12" s="9" customFormat="1" ht="19.899999999999999" customHeight="1">
      <c r="B118" s="103"/>
      <c r="D118" s="104" t="s">
        <v>118</v>
      </c>
      <c r="E118" s="105"/>
      <c r="F118" s="105"/>
      <c r="G118" s="105"/>
      <c r="H118" s="105"/>
      <c r="I118" s="105"/>
      <c r="J118" s="106">
        <f>J403</f>
        <v>29358.560000000001</v>
      </c>
      <c r="L118" s="103"/>
    </row>
    <row r="119" spans="2:12" s="9" customFormat="1" ht="19.899999999999999" customHeight="1">
      <c r="B119" s="103"/>
      <c r="D119" s="104" t="s">
        <v>119</v>
      </c>
      <c r="E119" s="105"/>
      <c r="F119" s="105"/>
      <c r="G119" s="105"/>
      <c r="H119" s="105"/>
      <c r="I119" s="105"/>
      <c r="J119" s="106">
        <f>J410</f>
        <v>1528806.65</v>
      </c>
      <c r="L119" s="103"/>
    </row>
    <row r="120" spans="2:12" s="9" customFormat="1" ht="19.899999999999999" customHeight="1">
      <c r="B120" s="103"/>
      <c r="D120" s="104" t="s">
        <v>120</v>
      </c>
      <c r="E120" s="105"/>
      <c r="F120" s="105"/>
      <c r="G120" s="105"/>
      <c r="H120" s="105"/>
      <c r="I120" s="105"/>
      <c r="J120" s="106">
        <f>J421</f>
        <v>430086.04</v>
      </c>
      <c r="L120" s="103"/>
    </row>
    <row r="121" spans="2:12" s="9" customFormat="1" ht="19.899999999999999" customHeight="1">
      <c r="B121" s="103"/>
      <c r="D121" s="104" t="s">
        <v>121</v>
      </c>
      <c r="E121" s="105"/>
      <c r="F121" s="105"/>
      <c r="G121" s="105"/>
      <c r="H121" s="105"/>
      <c r="I121" s="105"/>
      <c r="J121" s="106">
        <f>J428</f>
        <v>511508.07999999996</v>
      </c>
      <c r="L121" s="103"/>
    </row>
    <row r="122" spans="2:12" s="8" customFormat="1" ht="24.95" customHeight="1">
      <c r="B122" s="99"/>
      <c r="D122" s="100" t="s">
        <v>122</v>
      </c>
      <c r="E122" s="101"/>
      <c r="F122" s="101"/>
      <c r="G122" s="101"/>
      <c r="H122" s="101"/>
      <c r="I122" s="101"/>
      <c r="J122" s="102">
        <f>J431</f>
        <v>103636</v>
      </c>
      <c r="L122" s="99"/>
    </row>
    <row r="123" spans="2:12" s="9" customFormat="1" ht="19.899999999999999" customHeight="1">
      <c r="B123" s="103"/>
      <c r="D123" s="104" t="s">
        <v>123</v>
      </c>
      <c r="E123" s="105"/>
      <c r="F123" s="105"/>
      <c r="G123" s="105"/>
      <c r="H123" s="105"/>
      <c r="I123" s="105"/>
      <c r="J123" s="106">
        <f>J432</f>
        <v>20280</v>
      </c>
      <c r="L123" s="103"/>
    </row>
    <row r="124" spans="2:12" s="9" customFormat="1" ht="19.899999999999999" customHeight="1">
      <c r="B124" s="103"/>
      <c r="D124" s="104" t="s">
        <v>124</v>
      </c>
      <c r="E124" s="105"/>
      <c r="F124" s="105"/>
      <c r="G124" s="105"/>
      <c r="H124" s="105"/>
      <c r="I124" s="105"/>
      <c r="J124" s="106">
        <f>J435</f>
        <v>76492</v>
      </c>
      <c r="L124" s="103"/>
    </row>
    <row r="125" spans="2:12" s="9" customFormat="1" ht="19.899999999999999" customHeight="1">
      <c r="B125" s="103"/>
      <c r="D125" s="104" t="s">
        <v>125</v>
      </c>
      <c r="E125" s="105"/>
      <c r="F125" s="105"/>
      <c r="G125" s="105"/>
      <c r="H125" s="105"/>
      <c r="I125" s="105"/>
      <c r="J125" s="106">
        <f>J440</f>
        <v>6864</v>
      </c>
      <c r="L125" s="103"/>
    </row>
    <row r="126" spans="2:12" s="1" customFormat="1" ht="21.75" customHeight="1">
      <c r="B126" s="27"/>
      <c r="L126" s="27"/>
    </row>
    <row r="127" spans="2:12" s="1" customFormat="1" ht="6.95" customHeight="1">
      <c r="B127" s="39"/>
      <c r="C127" s="40"/>
      <c r="D127" s="40"/>
      <c r="E127" s="40"/>
      <c r="F127" s="40"/>
      <c r="G127" s="40"/>
      <c r="H127" s="40"/>
      <c r="I127" s="40"/>
      <c r="J127" s="40"/>
      <c r="K127" s="40"/>
      <c r="L127" s="27"/>
    </row>
    <row r="131" spans="2:20" s="1" customFormat="1" ht="6.95" customHeight="1">
      <c r="B131" s="41"/>
      <c r="C131" s="42"/>
      <c r="D131" s="42"/>
      <c r="E131" s="42"/>
      <c r="F131" s="42"/>
      <c r="G131" s="42"/>
      <c r="H131" s="42"/>
      <c r="I131" s="42"/>
      <c r="J131" s="42"/>
      <c r="K131" s="42"/>
      <c r="L131" s="27"/>
    </row>
    <row r="132" spans="2:20" s="1" customFormat="1" ht="24.95" customHeight="1">
      <c r="B132" s="27"/>
      <c r="C132" s="19" t="s">
        <v>126</v>
      </c>
      <c r="L132" s="27"/>
    </row>
    <row r="133" spans="2:20" s="1" customFormat="1" ht="6.95" customHeight="1">
      <c r="B133" s="27"/>
      <c r="L133" s="27"/>
    </row>
    <row r="134" spans="2:20" s="1" customFormat="1" ht="12" customHeight="1">
      <c r="B134" s="27"/>
      <c r="C134" s="24" t="s">
        <v>14</v>
      </c>
      <c r="L134" s="27"/>
    </row>
    <row r="135" spans="2:20" s="1" customFormat="1" ht="16.5" customHeight="1">
      <c r="B135" s="27"/>
      <c r="E135" s="283" t="str">
        <f>E7</f>
        <v>Komunitní sociální služby DOZP</v>
      </c>
      <c r="F135" s="284"/>
      <c r="G135" s="284"/>
      <c r="H135" s="284"/>
      <c r="L135" s="27"/>
    </row>
    <row r="136" spans="2:20" s="1" customFormat="1" ht="12" customHeight="1">
      <c r="B136" s="27"/>
      <c r="C136" s="24" t="s">
        <v>90</v>
      </c>
      <c r="L136" s="27"/>
    </row>
    <row r="137" spans="2:20" s="1" customFormat="1" ht="16.5" customHeight="1">
      <c r="B137" s="27"/>
      <c r="E137" s="270" t="str">
        <f>E9</f>
        <v>JC-A - Objekt A</v>
      </c>
      <c r="F137" s="285"/>
      <c r="G137" s="285"/>
      <c r="H137" s="285"/>
      <c r="L137" s="27"/>
    </row>
    <row r="138" spans="2:20" s="1" customFormat="1" ht="6.95" customHeight="1">
      <c r="B138" s="27"/>
      <c r="L138" s="27"/>
    </row>
    <row r="139" spans="2:20" s="1" customFormat="1" ht="12" customHeight="1">
      <c r="B139" s="27"/>
      <c r="C139" s="24" t="s">
        <v>18</v>
      </c>
      <c r="F139" s="22" t="str">
        <f>F12</f>
        <v>Jičín parc. č.1628</v>
      </c>
      <c r="I139" s="24" t="s">
        <v>20</v>
      </c>
      <c r="J139" s="47">
        <f>IF(J12="","",J12)</f>
        <v>44910</v>
      </c>
      <c r="L139" s="27"/>
    </row>
    <row r="140" spans="2:20" s="1" customFormat="1" ht="6.95" customHeight="1">
      <c r="B140" s="27"/>
      <c r="L140" s="27"/>
    </row>
    <row r="141" spans="2:20" s="1" customFormat="1" ht="15.2" customHeight="1">
      <c r="B141" s="27"/>
      <c r="C141" s="24" t="s">
        <v>21</v>
      </c>
      <c r="F141" s="22" t="str">
        <f>E15</f>
        <v>Královéhradecký kraj</v>
      </c>
      <c r="I141" s="24" t="s">
        <v>27</v>
      </c>
      <c r="J141" s="25" t="str">
        <f>E21</f>
        <v>Ing.arch. Kušnierik</v>
      </c>
      <c r="L141" s="27"/>
    </row>
    <row r="142" spans="2:20" s="1" customFormat="1" ht="15.2" customHeight="1">
      <c r="B142" s="27"/>
      <c r="C142" s="24" t="s">
        <v>25</v>
      </c>
      <c r="F142" s="22" t="str">
        <f>IF(E18="","",E18)</f>
        <v>bude určen ve výběrovém řízení</v>
      </c>
      <c r="I142" s="24" t="s">
        <v>30</v>
      </c>
      <c r="J142" s="25" t="str">
        <f>E24</f>
        <v>Ing.Pavel Michálek</v>
      </c>
      <c r="L142" s="27"/>
    </row>
    <row r="143" spans="2:20" s="1" customFormat="1" ht="10.35" customHeight="1">
      <c r="B143" s="27"/>
      <c r="L143" s="27"/>
    </row>
    <row r="144" spans="2:20" s="10" customFormat="1" ht="29.25" customHeight="1">
      <c r="B144" s="107"/>
      <c r="C144" s="108" t="s">
        <v>127</v>
      </c>
      <c r="D144" s="109" t="s">
        <v>58</v>
      </c>
      <c r="E144" s="109" t="s">
        <v>54</v>
      </c>
      <c r="F144" s="109" t="s">
        <v>55</v>
      </c>
      <c r="G144" s="109" t="s">
        <v>128</v>
      </c>
      <c r="H144" s="109" t="s">
        <v>129</v>
      </c>
      <c r="I144" s="109" t="s">
        <v>130</v>
      </c>
      <c r="J144" s="109" t="s">
        <v>94</v>
      </c>
      <c r="K144" s="110" t="s">
        <v>131</v>
      </c>
      <c r="L144" s="107"/>
      <c r="M144" s="54" t="s">
        <v>1</v>
      </c>
      <c r="N144" s="55" t="s">
        <v>37</v>
      </c>
      <c r="O144" s="55" t="s">
        <v>132</v>
      </c>
      <c r="P144" s="55" t="s">
        <v>133</v>
      </c>
      <c r="Q144" s="55" t="s">
        <v>134</v>
      </c>
      <c r="R144" s="55" t="s">
        <v>135</v>
      </c>
      <c r="S144" s="55" t="s">
        <v>136</v>
      </c>
      <c r="T144" s="56" t="s">
        <v>137</v>
      </c>
    </row>
    <row r="145" spans="2:65" s="1" customFormat="1" ht="22.9" customHeight="1">
      <c r="B145" s="27"/>
      <c r="C145" s="59" t="s">
        <v>138</v>
      </c>
      <c r="J145" s="111">
        <f>BK145</f>
        <v>58140642.449999988</v>
      </c>
      <c r="L145" s="27"/>
      <c r="M145" s="57"/>
      <c r="N145" s="48"/>
      <c r="O145" s="48"/>
      <c r="P145" s="112">
        <f>P146+P247+P431</f>
        <v>19833.674821000001</v>
      </c>
      <c r="Q145" s="48"/>
      <c r="R145" s="112">
        <f>R146+R247+R431</f>
        <v>3405.9326385499999</v>
      </c>
      <c r="S145" s="48"/>
      <c r="T145" s="113">
        <f>T146+T247+T431</f>
        <v>0.621</v>
      </c>
      <c r="AT145" s="15" t="s">
        <v>72</v>
      </c>
      <c r="AU145" s="15" t="s">
        <v>96</v>
      </c>
      <c r="BK145" s="114">
        <f>BK146+BK247+BK431</f>
        <v>58140642.449999988</v>
      </c>
    </row>
    <row r="146" spans="2:65" s="11" customFormat="1" ht="25.9" customHeight="1">
      <c r="B146" s="115"/>
      <c r="D146" s="116" t="s">
        <v>72</v>
      </c>
      <c r="E146" s="117" t="s">
        <v>139</v>
      </c>
      <c r="F146" s="117" t="s">
        <v>140</v>
      </c>
      <c r="J146" s="118">
        <f>BK146</f>
        <v>25541727.049999997</v>
      </c>
      <c r="L146" s="115"/>
      <c r="M146" s="119"/>
      <c r="P146" s="120">
        <f>P147+P158+P174+P180+P196+P223+P245</f>
        <v>13426.530178999999</v>
      </c>
      <c r="R146" s="120">
        <f>R147+R158+R174+R180+R196+R223+R245</f>
        <v>3264.53503963</v>
      </c>
      <c r="T146" s="121">
        <f>T147+T158+T174+T180+T196+T223+T245</f>
        <v>0.621</v>
      </c>
      <c r="AR146" s="116" t="s">
        <v>81</v>
      </c>
      <c r="AT146" s="122" t="s">
        <v>72</v>
      </c>
      <c r="AU146" s="122" t="s">
        <v>73</v>
      </c>
      <c r="AY146" s="116" t="s">
        <v>141</v>
      </c>
      <c r="BK146" s="123">
        <f>BK147+BK158+BK174+BK180+BK196+BK223+BK245</f>
        <v>25541727.049999997</v>
      </c>
    </row>
    <row r="147" spans="2:65" s="11" customFormat="1" ht="22.9" customHeight="1">
      <c r="B147" s="115"/>
      <c r="D147" s="116" t="s">
        <v>72</v>
      </c>
      <c r="E147" s="124" t="s">
        <v>81</v>
      </c>
      <c r="F147" s="124" t="s">
        <v>142</v>
      </c>
      <c r="J147" s="125">
        <f>BK147</f>
        <v>2058762.79</v>
      </c>
      <c r="L147" s="115"/>
      <c r="M147" s="119"/>
      <c r="P147" s="120">
        <f>SUM(P148:P157)</f>
        <v>600.57613200000003</v>
      </c>
      <c r="R147" s="120">
        <f>SUM(R148:R157)</f>
        <v>0</v>
      </c>
      <c r="T147" s="121">
        <f>SUM(T148:T157)</f>
        <v>0</v>
      </c>
      <c r="AR147" s="116" t="s">
        <v>81</v>
      </c>
      <c r="AT147" s="122" t="s">
        <v>72</v>
      </c>
      <c r="AU147" s="122" t="s">
        <v>81</v>
      </c>
      <c r="AY147" s="116" t="s">
        <v>141</v>
      </c>
      <c r="BK147" s="123">
        <f>SUM(BK148:BK157)</f>
        <v>2058762.79</v>
      </c>
    </row>
    <row r="148" spans="2:65" s="1" customFormat="1" ht="24.2" customHeight="1">
      <c r="B148" s="126"/>
      <c r="C148" s="127" t="s">
        <v>143</v>
      </c>
      <c r="D148" s="127" t="s">
        <v>144</v>
      </c>
      <c r="E148" s="128" t="s">
        <v>145</v>
      </c>
      <c r="F148" s="129" t="s">
        <v>146</v>
      </c>
      <c r="G148" s="130" t="s">
        <v>147</v>
      </c>
      <c r="H148" s="131">
        <v>13</v>
      </c>
      <c r="I148" s="132">
        <v>332</v>
      </c>
      <c r="J148" s="132">
        <f t="shared" ref="J148:J157" si="0">ROUND(I148*H148,2)</f>
        <v>4316</v>
      </c>
      <c r="K148" s="129" t="s">
        <v>148</v>
      </c>
      <c r="L148" s="27"/>
      <c r="M148" s="133" t="s">
        <v>1</v>
      </c>
      <c r="N148" s="134" t="s">
        <v>39</v>
      </c>
      <c r="O148" s="135">
        <v>0.88</v>
      </c>
      <c r="P148" s="135">
        <f t="shared" ref="P148:P157" si="1">O148*H148</f>
        <v>11.44</v>
      </c>
      <c r="Q148" s="135">
        <v>0</v>
      </c>
      <c r="R148" s="135">
        <f t="shared" ref="R148:R157" si="2">Q148*H148</f>
        <v>0</v>
      </c>
      <c r="S148" s="135">
        <v>0</v>
      </c>
      <c r="T148" s="136">
        <f t="shared" ref="T148:T157" si="3">S148*H148</f>
        <v>0</v>
      </c>
      <c r="AR148" s="137" t="s">
        <v>149</v>
      </c>
      <c r="AT148" s="137" t="s">
        <v>144</v>
      </c>
      <c r="AU148" s="137" t="s">
        <v>143</v>
      </c>
      <c r="AY148" s="15" t="s">
        <v>141</v>
      </c>
      <c r="BE148" s="138">
        <f t="shared" ref="BE148:BE157" si="4">IF(N148="základní",J148,0)</f>
        <v>0</v>
      </c>
      <c r="BF148" s="138">
        <f t="shared" ref="BF148:BF157" si="5">IF(N148="snížená",J148,0)</f>
        <v>4316</v>
      </c>
      <c r="BG148" s="138">
        <f t="shared" ref="BG148:BG157" si="6">IF(N148="zákl. přenesená",J148,0)</f>
        <v>0</v>
      </c>
      <c r="BH148" s="138">
        <f t="shared" ref="BH148:BH157" si="7">IF(N148="sníž. přenesená",J148,0)</f>
        <v>0</v>
      </c>
      <c r="BI148" s="138">
        <f t="shared" ref="BI148:BI157" si="8">IF(N148="nulová",J148,0)</f>
        <v>0</v>
      </c>
      <c r="BJ148" s="15" t="s">
        <v>143</v>
      </c>
      <c r="BK148" s="138">
        <f t="shared" ref="BK148:BK157" si="9">ROUND(I148*H148,2)</f>
        <v>4316</v>
      </c>
      <c r="BL148" s="15" t="s">
        <v>149</v>
      </c>
      <c r="BM148" s="137" t="s">
        <v>150</v>
      </c>
    </row>
    <row r="149" spans="2:65" s="1" customFormat="1" ht="16.5" customHeight="1">
      <c r="B149" s="126"/>
      <c r="C149" s="127" t="s">
        <v>151</v>
      </c>
      <c r="D149" s="127" t="s">
        <v>144</v>
      </c>
      <c r="E149" s="128" t="s">
        <v>152</v>
      </c>
      <c r="F149" s="129" t="s">
        <v>153</v>
      </c>
      <c r="G149" s="130" t="s">
        <v>147</v>
      </c>
      <c r="H149" s="131">
        <v>13</v>
      </c>
      <c r="I149" s="132">
        <v>1130</v>
      </c>
      <c r="J149" s="132">
        <f t="shared" si="0"/>
        <v>14690</v>
      </c>
      <c r="K149" s="129" t="s">
        <v>148</v>
      </c>
      <c r="L149" s="27"/>
      <c r="M149" s="133" t="s">
        <v>1</v>
      </c>
      <c r="N149" s="134" t="s">
        <v>39</v>
      </c>
      <c r="O149" s="135">
        <v>1.175</v>
      </c>
      <c r="P149" s="135">
        <f t="shared" si="1"/>
        <v>15.275</v>
      </c>
      <c r="Q149" s="135">
        <v>0</v>
      </c>
      <c r="R149" s="135">
        <f t="shared" si="2"/>
        <v>0</v>
      </c>
      <c r="S149" s="135">
        <v>0</v>
      </c>
      <c r="T149" s="136">
        <f t="shared" si="3"/>
        <v>0</v>
      </c>
      <c r="AR149" s="137" t="s">
        <v>149</v>
      </c>
      <c r="AT149" s="137" t="s">
        <v>144</v>
      </c>
      <c r="AU149" s="137" t="s">
        <v>143</v>
      </c>
      <c r="AY149" s="15" t="s">
        <v>141</v>
      </c>
      <c r="BE149" s="138">
        <f t="shared" si="4"/>
        <v>0</v>
      </c>
      <c r="BF149" s="138">
        <f t="shared" si="5"/>
        <v>14690</v>
      </c>
      <c r="BG149" s="138">
        <f t="shared" si="6"/>
        <v>0</v>
      </c>
      <c r="BH149" s="138">
        <f t="shared" si="7"/>
        <v>0</v>
      </c>
      <c r="BI149" s="138">
        <f t="shared" si="8"/>
        <v>0</v>
      </c>
      <c r="BJ149" s="15" t="s">
        <v>143</v>
      </c>
      <c r="BK149" s="138">
        <f t="shared" si="9"/>
        <v>14690</v>
      </c>
      <c r="BL149" s="15" t="s">
        <v>149</v>
      </c>
      <c r="BM149" s="137" t="s">
        <v>154</v>
      </c>
    </row>
    <row r="150" spans="2:65" s="1" customFormat="1" ht="24.2" customHeight="1">
      <c r="B150" s="126"/>
      <c r="C150" s="127" t="s">
        <v>149</v>
      </c>
      <c r="D150" s="127" t="s">
        <v>144</v>
      </c>
      <c r="E150" s="128" t="s">
        <v>155</v>
      </c>
      <c r="F150" s="129" t="s">
        <v>156</v>
      </c>
      <c r="G150" s="130" t="s">
        <v>157</v>
      </c>
      <c r="H150" s="131">
        <v>1152.2159999999999</v>
      </c>
      <c r="I150" s="132">
        <v>16.3</v>
      </c>
      <c r="J150" s="132">
        <f t="shared" si="0"/>
        <v>18781.12</v>
      </c>
      <c r="K150" s="129" t="s">
        <v>148</v>
      </c>
      <c r="L150" s="27"/>
      <c r="M150" s="133" t="s">
        <v>1</v>
      </c>
      <c r="N150" s="134" t="s">
        <v>39</v>
      </c>
      <c r="O150" s="135">
        <v>1.7000000000000001E-2</v>
      </c>
      <c r="P150" s="135">
        <f t="shared" si="1"/>
        <v>19.587672000000001</v>
      </c>
      <c r="Q150" s="135">
        <v>0</v>
      </c>
      <c r="R150" s="135">
        <f t="shared" si="2"/>
        <v>0</v>
      </c>
      <c r="S150" s="135">
        <v>0</v>
      </c>
      <c r="T150" s="136">
        <f t="shared" si="3"/>
        <v>0</v>
      </c>
      <c r="AR150" s="137" t="s">
        <v>149</v>
      </c>
      <c r="AT150" s="137" t="s">
        <v>144</v>
      </c>
      <c r="AU150" s="137" t="s">
        <v>143</v>
      </c>
      <c r="AY150" s="15" t="s">
        <v>141</v>
      </c>
      <c r="BE150" s="138">
        <f t="shared" si="4"/>
        <v>0</v>
      </c>
      <c r="BF150" s="138">
        <f t="shared" si="5"/>
        <v>18781.12</v>
      </c>
      <c r="BG150" s="138">
        <f t="shared" si="6"/>
        <v>0</v>
      </c>
      <c r="BH150" s="138">
        <f t="shared" si="7"/>
        <v>0</v>
      </c>
      <c r="BI150" s="138">
        <f t="shared" si="8"/>
        <v>0</v>
      </c>
      <c r="BJ150" s="15" t="s">
        <v>143</v>
      </c>
      <c r="BK150" s="138">
        <f t="shared" si="9"/>
        <v>18781.12</v>
      </c>
      <c r="BL150" s="15" t="s">
        <v>149</v>
      </c>
      <c r="BM150" s="137" t="s">
        <v>158</v>
      </c>
    </row>
    <row r="151" spans="2:65" s="1" customFormat="1" ht="33" customHeight="1">
      <c r="B151" s="126"/>
      <c r="C151" s="127" t="s">
        <v>159</v>
      </c>
      <c r="D151" s="127" t="s">
        <v>144</v>
      </c>
      <c r="E151" s="128" t="s">
        <v>160</v>
      </c>
      <c r="F151" s="129" t="s">
        <v>161</v>
      </c>
      <c r="G151" s="130" t="s">
        <v>162</v>
      </c>
      <c r="H151" s="131">
        <v>607.06500000000005</v>
      </c>
      <c r="I151" s="132">
        <v>459</v>
      </c>
      <c r="J151" s="132">
        <f t="shared" si="0"/>
        <v>278642.84000000003</v>
      </c>
      <c r="K151" s="129" t="s">
        <v>148</v>
      </c>
      <c r="L151" s="27"/>
      <c r="M151" s="133" t="s">
        <v>1</v>
      </c>
      <c r="N151" s="134" t="s">
        <v>39</v>
      </c>
      <c r="O151" s="135">
        <v>0.67200000000000004</v>
      </c>
      <c r="P151" s="135">
        <f t="shared" si="1"/>
        <v>407.94768000000005</v>
      </c>
      <c r="Q151" s="135">
        <v>0</v>
      </c>
      <c r="R151" s="135">
        <f t="shared" si="2"/>
        <v>0</v>
      </c>
      <c r="S151" s="135">
        <v>0</v>
      </c>
      <c r="T151" s="136">
        <f t="shared" si="3"/>
        <v>0</v>
      </c>
      <c r="AR151" s="137" t="s">
        <v>149</v>
      </c>
      <c r="AT151" s="137" t="s">
        <v>144</v>
      </c>
      <c r="AU151" s="137" t="s">
        <v>143</v>
      </c>
      <c r="AY151" s="15" t="s">
        <v>141</v>
      </c>
      <c r="BE151" s="138">
        <f t="shared" si="4"/>
        <v>0</v>
      </c>
      <c r="BF151" s="138">
        <f t="shared" si="5"/>
        <v>278642.84000000003</v>
      </c>
      <c r="BG151" s="138">
        <f t="shared" si="6"/>
        <v>0</v>
      </c>
      <c r="BH151" s="138">
        <f t="shared" si="7"/>
        <v>0</v>
      </c>
      <c r="BI151" s="138">
        <f t="shared" si="8"/>
        <v>0</v>
      </c>
      <c r="BJ151" s="15" t="s">
        <v>143</v>
      </c>
      <c r="BK151" s="138">
        <f t="shared" si="9"/>
        <v>278642.84000000003</v>
      </c>
      <c r="BL151" s="15" t="s">
        <v>149</v>
      </c>
      <c r="BM151" s="137" t="s">
        <v>163</v>
      </c>
    </row>
    <row r="152" spans="2:65" s="1" customFormat="1" ht="33" customHeight="1">
      <c r="B152" s="126"/>
      <c r="C152" s="127" t="s">
        <v>164</v>
      </c>
      <c r="D152" s="127" t="s">
        <v>144</v>
      </c>
      <c r="E152" s="128" t="s">
        <v>165</v>
      </c>
      <c r="F152" s="129" t="s">
        <v>166</v>
      </c>
      <c r="G152" s="130" t="s">
        <v>162</v>
      </c>
      <c r="H152" s="131">
        <v>607.06500000000005</v>
      </c>
      <c r="I152" s="132">
        <v>79.2</v>
      </c>
      <c r="J152" s="132">
        <f t="shared" si="0"/>
        <v>48079.55</v>
      </c>
      <c r="K152" s="129" t="s">
        <v>148</v>
      </c>
      <c r="L152" s="27"/>
      <c r="M152" s="133" t="s">
        <v>1</v>
      </c>
      <c r="N152" s="134" t="s">
        <v>39</v>
      </c>
      <c r="O152" s="135">
        <v>4.3999999999999997E-2</v>
      </c>
      <c r="P152" s="135">
        <f t="shared" si="1"/>
        <v>26.71086</v>
      </c>
      <c r="Q152" s="135">
        <v>0</v>
      </c>
      <c r="R152" s="135">
        <f t="shared" si="2"/>
        <v>0</v>
      </c>
      <c r="S152" s="135">
        <v>0</v>
      </c>
      <c r="T152" s="136">
        <f t="shared" si="3"/>
        <v>0</v>
      </c>
      <c r="AR152" s="137" t="s">
        <v>149</v>
      </c>
      <c r="AT152" s="137" t="s">
        <v>144</v>
      </c>
      <c r="AU152" s="137" t="s">
        <v>143</v>
      </c>
      <c r="AY152" s="15" t="s">
        <v>141</v>
      </c>
      <c r="BE152" s="138">
        <f t="shared" si="4"/>
        <v>0</v>
      </c>
      <c r="BF152" s="138">
        <f t="shared" si="5"/>
        <v>48079.55</v>
      </c>
      <c r="BG152" s="138">
        <f t="shared" si="6"/>
        <v>0</v>
      </c>
      <c r="BH152" s="138">
        <f t="shared" si="7"/>
        <v>0</v>
      </c>
      <c r="BI152" s="138">
        <f t="shared" si="8"/>
        <v>0</v>
      </c>
      <c r="BJ152" s="15" t="s">
        <v>143</v>
      </c>
      <c r="BK152" s="138">
        <f t="shared" si="9"/>
        <v>48079.55</v>
      </c>
      <c r="BL152" s="15" t="s">
        <v>149</v>
      </c>
      <c r="BM152" s="137" t="s">
        <v>167</v>
      </c>
    </row>
    <row r="153" spans="2:65" s="1" customFormat="1" ht="33" customHeight="1">
      <c r="B153" s="126"/>
      <c r="C153" s="127" t="s">
        <v>168</v>
      </c>
      <c r="D153" s="127" t="s">
        <v>144</v>
      </c>
      <c r="E153" s="128" t="s">
        <v>169</v>
      </c>
      <c r="F153" s="129" t="s">
        <v>170</v>
      </c>
      <c r="G153" s="130" t="s">
        <v>162</v>
      </c>
      <c r="H153" s="131">
        <v>607.06500000000005</v>
      </c>
      <c r="I153" s="132">
        <v>298</v>
      </c>
      <c r="J153" s="132">
        <f t="shared" si="0"/>
        <v>180905.37</v>
      </c>
      <c r="K153" s="129" t="s">
        <v>148</v>
      </c>
      <c r="L153" s="27"/>
      <c r="M153" s="133" t="s">
        <v>1</v>
      </c>
      <c r="N153" s="134" t="s">
        <v>39</v>
      </c>
      <c r="O153" s="135">
        <v>8.6999999999999994E-2</v>
      </c>
      <c r="P153" s="135">
        <f t="shared" si="1"/>
        <v>52.814655000000002</v>
      </c>
      <c r="Q153" s="135">
        <v>0</v>
      </c>
      <c r="R153" s="135">
        <f t="shared" si="2"/>
        <v>0</v>
      </c>
      <c r="S153" s="135">
        <v>0</v>
      </c>
      <c r="T153" s="136">
        <f t="shared" si="3"/>
        <v>0</v>
      </c>
      <c r="AR153" s="137" t="s">
        <v>149</v>
      </c>
      <c r="AT153" s="137" t="s">
        <v>144</v>
      </c>
      <c r="AU153" s="137" t="s">
        <v>143</v>
      </c>
      <c r="AY153" s="15" t="s">
        <v>141</v>
      </c>
      <c r="BE153" s="138">
        <f t="shared" si="4"/>
        <v>0</v>
      </c>
      <c r="BF153" s="138">
        <f t="shared" si="5"/>
        <v>180905.37</v>
      </c>
      <c r="BG153" s="138">
        <f t="shared" si="6"/>
        <v>0</v>
      </c>
      <c r="BH153" s="138">
        <f t="shared" si="7"/>
        <v>0</v>
      </c>
      <c r="BI153" s="138">
        <f t="shared" si="8"/>
        <v>0</v>
      </c>
      <c r="BJ153" s="15" t="s">
        <v>143</v>
      </c>
      <c r="BK153" s="138">
        <f t="shared" si="9"/>
        <v>180905.37</v>
      </c>
      <c r="BL153" s="15" t="s">
        <v>149</v>
      </c>
      <c r="BM153" s="137" t="s">
        <v>171</v>
      </c>
    </row>
    <row r="154" spans="2:65" s="1" customFormat="1" ht="24.2" customHeight="1">
      <c r="B154" s="126"/>
      <c r="C154" s="127" t="s">
        <v>172</v>
      </c>
      <c r="D154" s="127" t="s">
        <v>144</v>
      </c>
      <c r="E154" s="128" t="s">
        <v>173</v>
      </c>
      <c r="F154" s="129" t="s">
        <v>174</v>
      </c>
      <c r="G154" s="130" t="s">
        <v>162</v>
      </c>
      <c r="H154" s="131">
        <v>607.06500000000005</v>
      </c>
      <c r="I154" s="132">
        <v>50.2</v>
      </c>
      <c r="J154" s="132">
        <f t="shared" si="0"/>
        <v>30474.66</v>
      </c>
      <c r="K154" s="129" t="s">
        <v>148</v>
      </c>
      <c r="L154" s="27"/>
      <c r="M154" s="133" t="s">
        <v>1</v>
      </c>
      <c r="N154" s="134" t="s">
        <v>39</v>
      </c>
      <c r="O154" s="135">
        <v>7.1999999999999995E-2</v>
      </c>
      <c r="P154" s="135">
        <f t="shared" si="1"/>
        <v>43.708680000000001</v>
      </c>
      <c r="Q154" s="135">
        <v>0</v>
      </c>
      <c r="R154" s="135">
        <f t="shared" si="2"/>
        <v>0</v>
      </c>
      <c r="S154" s="135">
        <v>0</v>
      </c>
      <c r="T154" s="136">
        <f t="shared" si="3"/>
        <v>0</v>
      </c>
      <c r="AR154" s="137" t="s">
        <v>149</v>
      </c>
      <c r="AT154" s="137" t="s">
        <v>144</v>
      </c>
      <c r="AU154" s="137" t="s">
        <v>143</v>
      </c>
      <c r="AY154" s="15" t="s">
        <v>141</v>
      </c>
      <c r="BE154" s="138">
        <f t="shared" si="4"/>
        <v>0</v>
      </c>
      <c r="BF154" s="138">
        <f t="shared" si="5"/>
        <v>30474.66</v>
      </c>
      <c r="BG154" s="138">
        <f t="shared" si="6"/>
        <v>0</v>
      </c>
      <c r="BH154" s="138">
        <f t="shared" si="7"/>
        <v>0</v>
      </c>
      <c r="BI154" s="138">
        <f t="shared" si="8"/>
        <v>0</v>
      </c>
      <c r="BJ154" s="15" t="s">
        <v>143</v>
      </c>
      <c r="BK154" s="138">
        <f t="shared" si="9"/>
        <v>30474.66</v>
      </c>
      <c r="BL154" s="15" t="s">
        <v>149</v>
      </c>
      <c r="BM154" s="137" t="s">
        <v>175</v>
      </c>
    </row>
    <row r="155" spans="2:65" s="1" customFormat="1" ht="24.2" customHeight="1">
      <c r="B155" s="126"/>
      <c r="C155" s="127" t="s">
        <v>176</v>
      </c>
      <c r="D155" s="127" t="s">
        <v>144</v>
      </c>
      <c r="E155" s="128" t="s">
        <v>177</v>
      </c>
      <c r="F155" s="129" t="s">
        <v>178</v>
      </c>
      <c r="G155" s="130" t="s">
        <v>179</v>
      </c>
      <c r="H155" s="131">
        <v>1092.7170000000001</v>
      </c>
      <c r="I155" s="132">
        <v>1330</v>
      </c>
      <c r="J155" s="132">
        <f t="shared" si="0"/>
        <v>1453313.61</v>
      </c>
      <c r="K155" s="129" t="s">
        <v>148</v>
      </c>
      <c r="L155" s="27"/>
      <c r="M155" s="133" t="s">
        <v>1</v>
      </c>
      <c r="N155" s="134" t="s">
        <v>39</v>
      </c>
      <c r="O155" s="135">
        <v>0</v>
      </c>
      <c r="P155" s="135">
        <f t="shared" si="1"/>
        <v>0</v>
      </c>
      <c r="Q155" s="135">
        <v>0</v>
      </c>
      <c r="R155" s="135">
        <f t="shared" si="2"/>
        <v>0</v>
      </c>
      <c r="S155" s="135">
        <v>0</v>
      </c>
      <c r="T155" s="136">
        <f t="shared" si="3"/>
        <v>0</v>
      </c>
      <c r="AR155" s="137" t="s">
        <v>149</v>
      </c>
      <c r="AT155" s="137" t="s">
        <v>144</v>
      </c>
      <c r="AU155" s="137" t="s">
        <v>143</v>
      </c>
      <c r="AY155" s="15" t="s">
        <v>141</v>
      </c>
      <c r="BE155" s="138">
        <f t="shared" si="4"/>
        <v>0</v>
      </c>
      <c r="BF155" s="138">
        <f t="shared" si="5"/>
        <v>1453313.61</v>
      </c>
      <c r="BG155" s="138">
        <f t="shared" si="6"/>
        <v>0</v>
      </c>
      <c r="BH155" s="138">
        <f t="shared" si="7"/>
        <v>0</v>
      </c>
      <c r="BI155" s="138">
        <f t="shared" si="8"/>
        <v>0</v>
      </c>
      <c r="BJ155" s="15" t="s">
        <v>143</v>
      </c>
      <c r="BK155" s="138">
        <f t="shared" si="9"/>
        <v>1453313.61</v>
      </c>
      <c r="BL155" s="15" t="s">
        <v>149</v>
      </c>
      <c r="BM155" s="137" t="s">
        <v>180</v>
      </c>
    </row>
    <row r="156" spans="2:65" s="1" customFormat="1" ht="16.5" customHeight="1">
      <c r="B156" s="126"/>
      <c r="C156" s="127" t="s">
        <v>181</v>
      </c>
      <c r="D156" s="127" t="s">
        <v>144</v>
      </c>
      <c r="E156" s="128" t="s">
        <v>182</v>
      </c>
      <c r="F156" s="129" t="s">
        <v>183</v>
      </c>
      <c r="G156" s="130" t="s">
        <v>162</v>
      </c>
      <c r="H156" s="131">
        <v>607.06500000000005</v>
      </c>
      <c r="I156" s="132">
        <v>20.7</v>
      </c>
      <c r="J156" s="132">
        <f t="shared" si="0"/>
        <v>12566.25</v>
      </c>
      <c r="K156" s="129" t="s">
        <v>148</v>
      </c>
      <c r="L156" s="27"/>
      <c r="M156" s="133" t="s">
        <v>1</v>
      </c>
      <c r="N156" s="134" t="s">
        <v>39</v>
      </c>
      <c r="O156" s="135">
        <v>8.9999999999999993E-3</v>
      </c>
      <c r="P156" s="135">
        <f t="shared" si="1"/>
        <v>5.4635850000000001</v>
      </c>
      <c r="Q156" s="135">
        <v>0</v>
      </c>
      <c r="R156" s="135">
        <f t="shared" si="2"/>
        <v>0</v>
      </c>
      <c r="S156" s="135">
        <v>0</v>
      </c>
      <c r="T156" s="136">
        <f t="shared" si="3"/>
        <v>0</v>
      </c>
      <c r="AR156" s="137" t="s">
        <v>149</v>
      </c>
      <c r="AT156" s="137" t="s">
        <v>144</v>
      </c>
      <c r="AU156" s="137" t="s">
        <v>143</v>
      </c>
      <c r="AY156" s="15" t="s">
        <v>141</v>
      </c>
      <c r="BE156" s="138">
        <f t="shared" si="4"/>
        <v>0</v>
      </c>
      <c r="BF156" s="138">
        <f t="shared" si="5"/>
        <v>12566.25</v>
      </c>
      <c r="BG156" s="138">
        <f t="shared" si="6"/>
        <v>0</v>
      </c>
      <c r="BH156" s="138">
        <f t="shared" si="7"/>
        <v>0</v>
      </c>
      <c r="BI156" s="138">
        <f t="shared" si="8"/>
        <v>0</v>
      </c>
      <c r="BJ156" s="15" t="s">
        <v>143</v>
      </c>
      <c r="BK156" s="138">
        <f t="shared" si="9"/>
        <v>12566.25</v>
      </c>
      <c r="BL156" s="15" t="s">
        <v>149</v>
      </c>
      <c r="BM156" s="137" t="s">
        <v>184</v>
      </c>
    </row>
    <row r="157" spans="2:65" s="1" customFormat="1" ht="24.2" customHeight="1">
      <c r="B157" s="126"/>
      <c r="C157" s="127" t="s">
        <v>185</v>
      </c>
      <c r="D157" s="127" t="s">
        <v>144</v>
      </c>
      <c r="E157" s="128" t="s">
        <v>186</v>
      </c>
      <c r="F157" s="129" t="s">
        <v>187</v>
      </c>
      <c r="G157" s="130" t="s">
        <v>157</v>
      </c>
      <c r="H157" s="131">
        <v>705.12</v>
      </c>
      <c r="I157" s="132">
        <v>24.1</v>
      </c>
      <c r="J157" s="132">
        <f t="shared" si="0"/>
        <v>16993.39</v>
      </c>
      <c r="K157" s="129" t="s">
        <v>148</v>
      </c>
      <c r="L157" s="27"/>
      <c r="M157" s="133" t="s">
        <v>1</v>
      </c>
      <c r="N157" s="134" t="s">
        <v>39</v>
      </c>
      <c r="O157" s="135">
        <v>2.5000000000000001E-2</v>
      </c>
      <c r="P157" s="135">
        <f t="shared" si="1"/>
        <v>17.628</v>
      </c>
      <c r="Q157" s="135">
        <v>0</v>
      </c>
      <c r="R157" s="135">
        <f t="shared" si="2"/>
        <v>0</v>
      </c>
      <c r="S157" s="135">
        <v>0</v>
      </c>
      <c r="T157" s="136">
        <f t="shared" si="3"/>
        <v>0</v>
      </c>
      <c r="AR157" s="137" t="s">
        <v>149</v>
      </c>
      <c r="AT157" s="137" t="s">
        <v>144</v>
      </c>
      <c r="AU157" s="137" t="s">
        <v>143</v>
      </c>
      <c r="AY157" s="15" t="s">
        <v>141</v>
      </c>
      <c r="BE157" s="138">
        <f t="shared" si="4"/>
        <v>0</v>
      </c>
      <c r="BF157" s="138">
        <f t="shared" si="5"/>
        <v>16993.39</v>
      </c>
      <c r="BG157" s="138">
        <f t="shared" si="6"/>
        <v>0</v>
      </c>
      <c r="BH157" s="138">
        <f t="shared" si="7"/>
        <v>0</v>
      </c>
      <c r="BI157" s="138">
        <f t="shared" si="8"/>
        <v>0</v>
      </c>
      <c r="BJ157" s="15" t="s">
        <v>143</v>
      </c>
      <c r="BK157" s="138">
        <f t="shared" si="9"/>
        <v>16993.39</v>
      </c>
      <c r="BL157" s="15" t="s">
        <v>149</v>
      </c>
      <c r="BM157" s="137" t="s">
        <v>188</v>
      </c>
    </row>
    <row r="158" spans="2:65" s="11" customFormat="1" ht="22.9" customHeight="1">
      <c r="B158" s="115"/>
      <c r="D158" s="116" t="s">
        <v>72</v>
      </c>
      <c r="E158" s="124" t="s">
        <v>143</v>
      </c>
      <c r="F158" s="124" t="s">
        <v>189</v>
      </c>
      <c r="J158" s="125">
        <f>BK158</f>
        <v>6265726.21</v>
      </c>
      <c r="L158" s="115"/>
      <c r="M158" s="119"/>
      <c r="P158" s="120">
        <f>SUM(P159:P173)</f>
        <v>1893.6739719999998</v>
      </c>
      <c r="R158" s="120">
        <f>SUM(R159:R173)</f>
        <v>1665.9176116399999</v>
      </c>
      <c r="T158" s="121">
        <f>SUM(T159:T173)</f>
        <v>0</v>
      </c>
      <c r="AR158" s="116" t="s">
        <v>81</v>
      </c>
      <c r="AT158" s="122" t="s">
        <v>72</v>
      </c>
      <c r="AU158" s="122" t="s">
        <v>81</v>
      </c>
      <c r="AY158" s="116" t="s">
        <v>141</v>
      </c>
      <c r="BK158" s="123">
        <f>SUM(BK159:BK173)</f>
        <v>6265726.21</v>
      </c>
    </row>
    <row r="159" spans="2:65" s="1" customFormat="1" ht="24.2" customHeight="1">
      <c r="B159" s="126"/>
      <c r="C159" s="127" t="s">
        <v>190</v>
      </c>
      <c r="D159" s="127" t="s">
        <v>144</v>
      </c>
      <c r="E159" s="128" t="s">
        <v>191</v>
      </c>
      <c r="F159" s="129" t="s">
        <v>192</v>
      </c>
      <c r="G159" s="130" t="s">
        <v>193</v>
      </c>
      <c r="H159" s="131">
        <v>62.712000000000003</v>
      </c>
      <c r="I159" s="132">
        <v>1610</v>
      </c>
      <c r="J159" s="132">
        <f t="shared" ref="J159:J173" si="10">ROUND(I159*H159,2)</f>
        <v>100966.32</v>
      </c>
      <c r="K159" s="129" t="s">
        <v>148</v>
      </c>
      <c r="L159" s="27"/>
      <c r="M159" s="133" t="s">
        <v>1</v>
      </c>
      <c r="N159" s="134" t="s">
        <v>39</v>
      </c>
      <c r="O159" s="135">
        <v>0.26600000000000001</v>
      </c>
      <c r="P159" s="135">
        <f t="shared" ref="P159:P173" si="11">O159*H159</f>
        <v>16.681392000000002</v>
      </c>
      <c r="Q159" s="135">
        <v>3.0000000000000001E-5</v>
      </c>
      <c r="R159" s="135">
        <f t="shared" ref="R159:R173" si="12">Q159*H159</f>
        <v>1.8813600000000001E-3</v>
      </c>
      <c r="S159" s="135">
        <v>0</v>
      </c>
      <c r="T159" s="136">
        <f t="shared" ref="T159:T173" si="13">S159*H159</f>
        <v>0</v>
      </c>
      <c r="AR159" s="137" t="s">
        <v>149</v>
      </c>
      <c r="AT159" s="137" t="s">
        <v>144</v>
      </c>
      <c r="AU159" s="137" t="s">
        <v>143</v>
      </c>
      <c r="AY159" s="15" t="s">
        <v>141</v>
      </c>
      <c r="BE159" s="138">
        <f t="shared" ref="BE159:BE173" si="14">IF(N159="základní",J159,0)</f>
        <v>0</v>
      </c>
      <c r="BF159" s="138">
        <f t="shared" ref="BF159:BF173" si="15">IF(N159="snížená",J159,0)</f>
        <v>100966.32</v>
      </c>
      <c r="BG159" s="138">
        <f t="shared" ref="BG159:BG173" si="16">IF(N159="zákl. přenesená",J159,0)</f>
        <v>0</v>
      </c>
      <c r="BH159" s="138">
        <f t="shared" ref="BH159:BH173" si="17">IF(N159="sníž. přenesená",J159,0)</f>
        <v>0</v>
      </c>
      <c r="BI159" s="138">
        <f t="shared" ref="BI159:BI173" si="18">IF(N159="nulová",J159,0)</f>
        <v>0</v>
      </c>
      <c r="BJ159" s="15" t="s">
        <v>143</v>
      </c>
      <c r="BK159" s="138">
        <f t="shared" ref="BK159:BK173" si="19">ROUND(I159*H159,2)</f>
        <v>100966.32</v>
      </c>
      <c r="BL159" s="15" t="s">
        <v>149</v>
      </c>
      <c r="BM159" s="137" t="s">
        <v>194</v>
      </c>
    </row>
    <row r="160" spans="2:65" s="1" customFormat="1" ht="24.2" customHeight="1">
      <c r="B160" s="126"/>
      <c r="C160" s="127" t="s">
        <v>195</v>
      </c>
      <c r="D160" s="127" t="s">
        <v>144</v>
      </c>
      <c r="E160" s="128" t="s">
        <v>196</v>
      </c>
      <c r="F160" s="129" t="s">
        <v>197</v>
      </c>
      <c r="G160" s="130" t="s">
        <v>193</v>
      </c>
      <c r="H160" s="131">
        <v>184.65199999999999</v>
      </c>
      <c r="I160" s="132">
        <v>1980</v>
      </c>
      <c r="J160" s="132">
        <f t="shared" si="10"/>
        <v>365610.96</v>
      </c>
      <c r="K160" s="129" t="s">
        <v>148</v>
      </c>
      <c r="L160" s="27"/>
      <c r="M160" s="133" t="s">
        <v>1</v>
      </c>
      <c r="N160" s="134" t="s">
        <v>39</v>
      </c>
      <c r="O160" s="135">
        <v>0.32700000000000001</v>
      </c>
      <c r="P160" s="135">
        <f t="shared" si="11"/>
        <v>60.381203999999997</v>
      </c>
      <c r="Q160" s="135">
        <v>4.0000000000000003E-5</v>
      </c>
      <c r="R160" s="135">
        <f t="shared" si="12"/>
        <v>7.3860799999999997E-3</v>
      </c>
      <c r="S160" s="135">
        <v>0</v>
      </c>
      <c r="T160" s="136">
        <f t="shared" si="13"/>
        <v>0</v>
      </c>
      <c r="AR160" s="137" t="s">
        <v>149</v>
      </c>
      <c r="AT160" s="137" t="s">
        <v>144</v>
      </c>
      <c r="AU160" s="137" t="s">
        <v>143</v>
      </c>
      <c r="AY160" s="15" t="s">
        <v>141</v>
      </c>
      <c r="BE160" s="138">
        <f t="shared" si="14"/>
        <v>0</v>
      </c>
      <c r="BF160" s="138">
        <f t="shared" si="15"/>
        <v>365610.96</v>
      </c>
      <c r="BG160" s="138">
        <f t="shared" si="16"/>
        <v>0</v>
      </c>
      <c r="BH160" s="138">
        <f t="shared" si="17"/>
        <v>0</v>
      </c>
      <c r="BI160" s="138">
        <f t="shared" si="18"/>
        <v>0</v>
      </c>
      <c r="BJ160" s="15" t="s">
        <v>143</v>
      </c>
      <c r="BK160" s="138">
        <f t="shared" si="19"/>
        <v>365610.96</v>
      </c>
      <c r="BL160" s="15" t="s">
        <v>149</v>
      </c>
      <c r="BM160" s="137" t="s">
        <v>198</v>
      </c>
    </row>
    <row r="161" spans="2:65" s="1" customFormat="1" ht="24.2" customHeight="1">
      <c r="B161" s="126"/>
      <c r="C161" s="127" t="s">
        <v>199</v>
      </c>
      <c r="D161" s="127" t="s">
        <v>144</v>
      </c>
      <c r="E161" s="128" t="s">
        <v>200</v>
      </c>
      <c r="F161" s="129" t="s">
        <v>201</v>
      </c>
      <c r="G161" s="130" t="s">
        <v>193</v>
      </c>
      <c r="H161" s="131">
        <v>183.45599999999999</v>
      </c>
      <c r="I161" s="132">
        <v>2150</v>
      </c>
      <c r="J161" s="132">
        <f t="shared" si="10"/>
        <v>394430.4</v>
      </c>
      <c r="K161" s="129" t="s">
        <v>148</v>
      </c>
      <c r="L161" s="27"/>
      <c r="M161" s="133" t="s">
        <v>1</v>
      </c>
      <c r="N161" s="134" t="s">
        <v>39</v>
      </c>
      <c r="O161" s="135">
        <v>0.35499999999999998</v>
      </c>
      <c r="P161" s="135">
        <f t="shared" si="11"/>
        <v>65.12688</v>
      </c>
      <c r="Q161" s="135">
        <v>4.0000000000000003E-5</v>
      </c>
      <c r="R161" s="135">
        <f t="shared" si="12"/>
        <v>7.3382400000000002E-3</v>
      </c>
      <c r="S161" s="135">
        <v>0</v>
      </c>
      <c r="T161" s="136">
        <f t="shared" si="13"/>
        <v>0</v>
      </c>
      <c r="AR161" s="137" t="s">
        <v>149</v>
      </c>
      <c r="AT161" s="137" t="s">
        <v>144</v>
      </c>
      <c r="AU161" s="137" t="s">
        <v>143</v>
      </c>
      <c r="AY161" s="15" t="s">
        <v>141</v>
      </c>
      <c r="BE161" s="138">
        <f t="shared" si="14"/>
        <v>0</v>
      </c>
      <c r="BF161" s="138">
        <f t="shared" si="15"/>
        <v>394430.4</v>
      </c>
      <c r="BG161" s="138">
        <f t="shared" si="16"/>
        <v>0</v>
      </c>
      <c r="BH161" s="138">
        <f t="shared" si="17"/>
        <v>0</v>
      </c>
      <c r="BI161" s="138">
        <f t="shared" si="18"/>
        <v>0</v>
      </c>
      <c r="BJ161" s="15" t="s">
        <v>143</v>
      </c>
      <c r="BK161" s="138">
        <f t="shared" si="19"/>
        <v>394430.4</v>
      </c>
      <c r="BL161" s="15" t="s">
        <v>149</v>
      </c>
      <c r="BM161" s="137" t="s">
        <v>202</v>
      </c>
    </row>
    <row r="162" spans="2:65" s="1" customFormat="1" ht="24.2" customHeight="1">
      <c r="B162" s="126"/>
      <c r="C162" s="127" t="s">
        <v>8</v>
      </c>
      <c r="D162" s="127" t="s">
        <v>144</v>
      </c>
      <c r="E162" s="128" t="s">
        <v>203</v>
      </c>
      <c r="F162" s="129" t="s">
        <v>204</v>
      </c>
      <c r="G162" s="130" t="s">
        <v>193</v>
      </c>
      <c r="H162" s="131">
        <v>62.712000000000003</v>
      </c>
      <c r="I162" s="132">
        <v>301</v>
      </c>
      <c r="J162" s="132">
        <f t="shared" si="10"/>
        <v>18876.310000000001</v>
      </c>
      <c r="K162" s="129" t="s">
        <v>148</v>
      </c>
      <c r="L162" s="27"/>
      <c r="M162" s="133" t="s">
        <v>1</v>
      </c>
      <c r="N162" s="134" t="s">
        <v>39</v>
      </c>
      <c r="O162" s="135">
        <v>0.21</v>
      </c>
      <c r="P162" s="135">
        <f t="shared" si="11"/>
        <v>13.16952</v>
      </c>
      <c r="Q162" s="135">
        <v>0</v>
      </c>
      <c r="R162" s="135">
        <f t="shared" si="12"/>
        <v>0</v>
      </c>
      <c r="S162" s="135">
        <v>0</v>
      </c>
      <c r="T162" s="136">
        <f t="shared" si="13"/>
        <v>0</v>
      </c>
      <c r="AR162" s="137" t="s">
        <v>149</v>
      </c>
      <c r="AT162" s="137" t="s">
        <v>144</v>
      </c>
      <c r="AU162" s="137" t="s">
        <v>143</v>
      </c>
      <c r="AY162" s="15" t="s">
        <v>141</v>
      </c>
      <c r="BE162" s="138">
        <f t="shared" si="14"/>
        <v>0</v>
      </c>
      <c r="BF162" s="138">
        <f t="shared" si="15"/>
        <v>18876.310000000001</v>
      </c>
      <c r="BG162" s="138">
        <f t="shared" si="16"/>
        <v>0</v>
      </c>
      <c r="BH162" s="138">
        <f t="shared" si="17"/>
        <v>0</v>
      </c>
      <c r="BI162" s="138">
        <f t="shared" si="18"/>
        <v>0</v>
      </c>
      <c r="BJ162" s="15" t="s">
        <v>143</v>
      </c>
      <c r="BK162" s="138">
        <f t="shared" si="19"/>
        <v>18876.310000000001</v>
      </c>
      <c r="BL162" s="15" t="s">
        <v>149</v>
      </c>
      <c r="BM162" s="137" t="s">
        <v>205</v>
      </c>
    </row>
    <row r="163" spans="2:65" s="1" customFormat="1" ht="16.5" customHeight="1">
      <c r="B163" s="126"/>
      <c r="C163" s="139" t="s">
        <v>206</v>
      </c>
      <c r="D163" s="139" t="s">
        <v>207</v>
      </c>
      <c r="E163" s="140" t="s">
        <v>208</v>
      </c>
      <c r="F163" s="141" t="s">
        <v>209</v>
      </c>
      <c r="G163" s="142" t="s">
        <v>162</v>
      </c>
      <c r="H163" s="143">
        <v>17.722999999999999</v>
      </c>
      <c r="I163" s="144">
        <v>3110</v>
      </c>
      <c r="J163" s="144">
        <f t="shared" si="10"/>
        <v>55118.53</v>
      </c>
      <c r="K163" s="141" t="s">
        <v>148</v>
      </c>
      <c r="L163" s="145"/>
      <c r="M163" s="146" t="s">
        <v>1</v>
      </c>
      <c r="N163" s="147" t="s">
        <v>39</v>
      </c>
      <c r="O163" s="135">
        <v>0</v>
      </c>
      <c r="P163" s="135">
        <f t="shared" si="11"/>
        <v>0</v>
      </c>
      <c r="Q163" s="135">
        <v>2.4289999999999998</v>
      </c>
      <c r="R163" s="135">
        <f t="shared" si="12"/>
        <v>43.049166999999997</v>
      </c>
      <c r="S163" s="135">
        <v>0</v>
      </c>
      <c r="T163" s="136">
        <f t="shared" si="13"/>
        <v>0</v>
      </c>
      <c r="AR163" s="137" t="s">
        <v>172</v>
      </c>
      <c r="AT163" s="137" t="s">
        <v>207</v>
      </c>
      <c r="AU163" s="137" t="s">
        <v>143</v>
      </c>
      <c r="AY163" s="15" t="s">
        <v>141</v>
      </c>
      <c r="BE163" s="138">
        <f t="shared" si="14"/>
        <v>0</v>
      </c>
      <c r="BF163" s="138">
        <f t="shared" si="15"/>
        <v>55118.53</v>
      </c>
      <c r="BG163" s="138">
        <f t="shared" si="16"/>
        <v>0</v>
      </c>
      <c r="BH163" s="138">
        <f t="shared" si="17"/>
        <v>0</v>
      </c>
      <c r="BI163" s="138">
        <f t="shared" si="18"/>
        <v>0</v>
      </c>
      <c r="BJ163" s="15" t="s">
        <v>143</v>
      </c>
      <c r="BK163" s="138">
        <f t="shared" si="19"/>
        <v>55118.53</v>
      </c>
      <c r="BL163" s="15" t="s">
        <v>149</v>
      </c>
      <c r="BM163" s="137" t="s">
        <v>210</v>
      </c>
    </row>
    <row r="164" spans="2:65" s="1" customFormat="1" ht="24.2" customHeight="1">
      <c r="B164" s="126"/>
      <c r="C164" s="127" t="s">
        <v>211</v>
      </c>
      <c r="D164" s="127" t="s">
        <v>144</v>
      </c>
      <c r="E164" s="128" t="s">
        <v>212</v>
      </c>
      <c r="F164" s="129" t="s">
        <v>213</v>
      </c>
      <c r="G164" s="130" t="s">
        <v>193</v>
      </c>
      <c r="H164" s="131">
        <v>368.108</v>
      </c>
      <c r="I164" s="132">
        <v>615</v>
      </c>
      <c r="J164" s="132">
        <f t="shared" si="10"/>
        <v>226386.42</v>
      </c>
      <c r="K164" s="129" t="s">
        <v>148</v>
      </c>
      <c r="L164" s="27"/>
      <c r="M164" s="133" t="s">
        <v>1</v>
      </c>
      <c r="N164" s="134" t="s">
        <v>39</v>
      </c>
      <c r="O164" s="135">
        <v>0.43</v>
      </c>
      <c r="P164" s="135">
        <f t="shared" si="11"/>
        <v>158.28644</v>
      </c>
      <c r="Q164" s="135">
        <v>0</v>
      </c>
      <c r="R164" s="135">
        <f t="shared" si="12"/>
        <v>0</v>
      </c>
      <c r="S164" s="135">
        <v>0</v>
      </c>
      <c r="T164" s="136">
        <f t="shared" si="13"/>
        <v>0</v>
      </c>
      <c r="AR164" s="137" t="s">
        <v>149</v>
      </c>
      <c r="AT164" s="137" t="s">
        <v>144</v>
      </c>
      <c r="AU164" s="137" t="s">
        <v>143</v>
      </c>
      <c r="AY164" s="15" t="s">
        <v>141</v>
      </c>
      <c r="BE164" s="138">
        <f t="shared" si="14"/>
        <v>0</v>
      </c>
      <c r="BF164" s="138">
        <f t="shared" si="15"/>
        <v>226386.42</v>
      </c>
      <c r="BG164" s="138">
        <f t="shared" si="16"/>
        <v>0</v>
      </c>
      <c r="BH164" s="138">
        <f t="shared" si="17"/>
        <v>0</v>
      </c>
      <c r="BI164" s="138">
        <f t="shared" si="18"/>
        <v>0</v>
      </c>
      <c r="BJ164" s="15" t="s">
        <v>143</v>
      </c>
      <c r="BK164" s="138">
        <f t="shared" si="19"/>
        <v>226386.42</v>
      </c>
      <c r="BL164" s="15" t="s">
        <v>149</v>
      </c>
      <c r="BM164" s="137" t="s">
        <v>214</v>
      </c>
    </row>
    <row r="165" spans="2:65" s="1" customFormat="1" ht="16.5" customHeight="1">
      <c r="B165" s="126"/>
      <c r="C165" s="139" t="s">
        <v>215</v>
      </c>
      <c r="D165" s="139" t="s">
        <v>207</v>
      </c>
      <c r="E165" s="140" t="s">
        <v>208</v>
      </c>
      <c r="F165" s="141" t="s">
        <v>209</v>
      </c>
      <c r="G165" s="142" t="s">
        <v>162</v>
      </c>
      <c r="H165" s="143">
        <v>236.78200000000001</v>
      </c>
      <c r="I165" s="144">
        <v>3110</v>
      </c>
      <c r="J165" s="144">
        <f t="shared" si="10"/>
        <v>736392.02</v>
      </c>
      <c r="K165" s="141" t="s">
        <v>148</v>
      </c>
      <c r="L165" s="145"/>
      <c r="M165" s="146" t="s">
        <v>1</v>
      </c>
      <c r="N165" s="147" t="s">
        <v>39</v>
      </c>
      <c r="O165" s="135">
        <v>0</v>
      </c>
      <c r="P165" s="135">
        <f t="shared" si="11"/>
        <v>0</v>
      </c>
      <c r="Q165" s="135">
        <v>2.4289999999999998</v>
      </c>
      <c r="R165" s="135">
        <f t="shared" si="12"/>
        <v>575.14347799999996</v>
      </c>
      <c r="S165" s="135">
        <v>0</v>
      </c>
      <c r="T165" s="136">
        <f t="shared" si="13"/>
        <v>0</v>
      </c>
      <c r="AR165" s="137" t="s">
        <v>172</v>
      </c>
      <c r="AT165" s="137" t="s">
        <v>207</v>
      </c>
      <c r="AU165" s="137" t="s">
        <v>143</v>
      </c>
      <c r="AY165" s="15" t="s">
        <v>141</v>
      </c>
      <c r="BE165" s="138">
        <f t="shared" si="14"/>
        <v>0</v>
      </c>
      <c r="BF165" s="138">
        <f t="shared" si="15"/>
        <v>736392.02</v>
      </c>
      <c r="BG165" s="138">
        <f t="shared" si="16"/>
        <v>0</v>
      </c>
      <c r="BH165" s="138">
        <f t="shared" si="17"/>
        <v>0</v>
      </c>
      <c r="BI165" s="138">
        <f t="shared" si="18"/>
        <v>0</v>
      </c>
      <c r="BJ165" s="15" t="s">
        <v>143</v>
      </c>
      <c r="BK165" s="138">
        <f t="shared" si="19"/>
        <v>736392.02</v>
      </c>
      <c r="BL165" s="15" t="s">
        <v>149</v>
      </c>
      <c r="BM165" s="137" t="s">
        <v>216</v>
      </c>
    </row>
    <row r="166" spans="2:65" s="1" customFormat="1" ht="24.2" customHeight="1">
      <c r="B166" s="126"/>
      <c r="C166" s="127" t="s">
        <v>217</v>
      </c>
      <c r="D166" s="127" t="s">
        <v>144</v>
      </c>
      <c r="E166" s="128" t="s">
        <v>218</v>
      </c>
      <c r="F166" s="129" t="s">
        <v>219</v>
      </c>
      <c r="G166" s="130" t="s">
        <v>179</v>
      </c>
      <c r="H166" s="131">
        <v>10.92</v>
      </c>
      <c r="I166" s="132">
        <v>66700</v>
      </c>
      <c r="J166" s="132">
        <f t="shared" si="10"/>
        <v>728364</v>
      </c>
      <c r="K166" s="129" t="s">
        <v>148</v>
      </c>
      <c r="L166" s="27"/>
      <c r="M166" s="133" t="s">
        <v>1</v>
      </c>
      <c r="N166" s="134" t="s">
        <v>39</v>
      </c>
      <c r="O166" s="135">
        <v>17.539000000000001</v>
      </c>
      <c r="P166" s="135">
        <f t="shared" si="11"/>
        <v>191.52588</v>
      </c>
      <c r="Q166" s="135">
        <v>1.11381</v>
      </c>
      <c r="R166" s="135">
        <f t="shared" si="12"/>
        <v>12.162805199999999</v>
      </c>
      <c r="S166" s="135">
        <v>0</v>
      </c>
      <c r="T166" s="136">
        <f t="shared" si="13"/>
        <v>0</v>
      </c>
      <c r="AR166" s="137" t="s">
        <v>149</v>
      </c>
      <c r="AT166" s="137" t="s">
        <v>144</v>
      </c>
      <c r="AU166" s="137" t="s">
        <v>143</v>
      </c>
      <c r="AY166" s="15" t="s">
        <v>141</v>
      </c>
      <c r="BE166" s="138">
        <f t="shared" si="14"/>
        <v>0</v>
      </c>
      <c r="BF166" s="138">
        <f t="shared" si="15"/>
        <v>728364</v>
      </c>
      <c r="BG166" s="138">
        <f t="shared" si="16"/>
        <v>0</v>
      </c>
      <c r="BH166" s="138">
        <f t="shared" si="17"/>
        <v>0</v>
      </c>
      <c r="BI166" s="138">
        <f t="shared" si="18"/>
        <v>0</v>
      </c>
      <c r="BJ166" s="15" t="s">
        <v>143</v>
      </c>
      <c r="BK166" s="138">
        <f t="shared" si="19"/>
        <v>728364</v>
      </c>
      <c r="BL166" s="15" t="s">
        <v>149</v>
      </c>
      <c r="BM166" s="137" t="s">
        <v>220</v>
      </c>
    </row>
    <row r="167" spans="2:65" s="1" customFormat="1" ht="16.5" customHeight="1">
      <c r="B167" s="126"/>
      <c r="C167" s="127" t="s">
        <v>221</v>
      </c>
      <c r="D167" s="127" t="s">
        <v>144</v>
      </c>
      <c r="E167" s="128" t="s">
        <v>222</v>
      </c>
      <c r="F167" s="129" t="s">
        <v>223</v>
      </c>
      <c r="G167" s="130" t="s">
        <v>162</v>
      </c>
      <c r="H167" s="131">
        <v>141.024</v>
      </c>
      <c r="I167" s="132">
        <v>3280</v>
      </c>
      <c r="J167" s="132">
        <f t="shared" si="10"/>
        <v>462558.71999999997</v>
      </c>
      <c r="K167" s="129" t="s">
        <v>148</v>
      </c>
      <c r="L167" s="27"/>
      <c r="M167" s="133" t="s">
        <v>1</v>
      </c>
      <c r="N167" s="134" t="s">
        <v>39</v>
      </c>
      <c r="O167" s="135">
        <v>0.58399999999999996</v>
      </c>
      <c r="P167" s="135">
        <f t="shared" si="11"/>
        <v>82.358015999999992</v>
      </c>
      <c r="Q167" s="135">
        <v>2.45329</v>
      </c>
      <c r="R167" s="135">
        <f t="shared" si="12"/>
        <v>345.97276896</v>
      </c>
      <c r="S167" s="135">
        <v>0</v>
      </c>
      <c r="T167" s="136">
        <f t="shared" si="13"/>
        <v>0</v>
      </c>
      <c r="AR167" s="137" t="s">
        <v>149</v>
      </c>
      <c r="AT167" s="137" t="s">
        <v>144</v>
      </c>
      <c r="AU167" s="137" t="s">
        <v>143</v>
      </c>
      <c r="AY167" s="15" t="s">
        <v>141</v>
      </c>
      <c r="BE167" s="138">
        <f t="shared" si="14"/>
        <v>0</v>
      </c>
      <c r="BF167" s="138">
        <f t="shared" si="15"/>
        <v>462558.71999999997</v>
      </c>
      <c r="BG167" s="138">
        <f t="shared" si="16"/>
        <v>0</v>
      </c>
      <c r="BH167" s="138">
        <f t="shared" si="17"/>
        <v>0</v>
      </c>
      <c r="BI167" s="138">
        <f t="shared" si="18"/>
        <v>0</v>
      </c>
      <c r="BJ167" s="15" t="s">
        <v>143</v>
      </c>
      <c r="BK167" s="138">
        <f t="shared" si="19"/>
        <v>462558.71999999997</v>
      </c>
      <c r="BL167" s="15" t="s">
        <v>149</v>
      </c>
      <c r="BM167" s="137" t="s">
        <v>224</v>
      </c>
    </row>
    <row r="168" spans="2:65" s="1" customFormat="1" ht="16.5" customHeight="1">
      <c r="B168" s="126"/>
      <c r="C168" s="127" t="s">
        <v>7</v>
      </c>
      <c r="D168" s="127" t="s">
        <v>144</v>
      </c>
      <c r="E168" s="128" t="s">
        <v>225</v>
      </c>
      <c r="F168" s="129" t="s">
        <v>226</v>
      </c>
      <c r="G168" s="130" t="s">
        <v>157</v>
      </c>
      <c r="H168" s="131">
        <v>145.6</v>
      </c>
      <c r="I168" s="132">
        <v>503</v>
      </c>
      <c r="J168" s="132">
        <f t="shared" si="10"/>
        <v>73236.800000000003</v>
      </c>
      <c r="K168" s="129" t="s">
        <v>148</v>
      </c>
      <c r="L168" s="27"/>
      <c r="M168" s="133" t="s">
        <v>1</v>
      </c>
      <c r="N168" s="134" t="s">
        <v>39</v>
      </c>
      <c r="O168" s="135">
        <v>0.3</v>
      </c>
      <c r="P168" s="135">
        <f t="shared" si="11"/>
        <v>43.68</v>
      </c>
      <c r="Q168" s="135">
        <v>2.47E-3</v>
      </c>
      <c r="R168" s="135">
        <f t="shared" si="12"/>
        <v>0.35963200000000001</v>
      </c>
      <c r="S168" s="135">
        <v>0</v>
      </c>
      <c r="T168" s="136">
        <f t="shared" si="13"/>
        <v>0</v>
      </c>
      <c r="AR168" s="137" t="s">
        <v>149</v>
      </c>
      <c r="AT168" s="137" t="s">
        <v>144</v>
      </c>
      <c r="AU168" s="137" t="s">
        <v>143</v>
      </c>
      <c r="AY168" s="15" t="s">
        <v>141</v>
      </c>
      <c r="BE168" s="138">
        <f t="shared" si="14"/>
        <v>0</v>
      </c>
      <c r="BF168" s="138">
        <f t="shared" si="15"/>
        <v>73236.800000000003</v>
      </c>
      <c r="BG168" s="138">
        <f t="shared" si="16"/>
        <v>0</v>
      </c>
      <c r="BH168" s="138">
        <f t="shared" si="17"/>
        <v>0</v>
      </c>
      <c r="BI168" s="138">
        <f t="shared" si="18"/>
        <v>0</v>
      </c>
      <c r="BJ168" s="15" t="s">
        <v>143</v>
      </c>
      <c r="BK168" s="138">
        <f t="shared" si="19"/>
        <v>73236.800000000003</v>
      </c>
      <c r="BL168" s="15" t="s">
        <v>149</v>
      </c>
      <c r="BM168" s="137" t="s">
        <v>227</v>
      </c>
    </row>
    <row r="169" spans="2:65" s="1" customFormat="1" ht="16.5" customHeight="1">
      <c r="B169" s="126"/>
      <c r="C169" s="127" t="s">
        <v>228</v>
      </c>
      <c r="D169" s="127" t="s">
        <v>144</v>
      </c>
      <c r="E169" s="128" t="s">
        <v>229</v>
      </c>
      <c r="F169" s="129" t="s">
        <v>230</v>
      </c>
      <c r="G169" s="130" t="s">
        <v>157</v>
      </c>
      <c r="H169" s="131">
        <v>145.6</v>
      </c>
      <c r="I169" s="132">
        <v>128</v>
      </c>
      <c r="J169" s="132">
        <f t="shared" si="10"/>
        <v>18636.8</v>
      </c>
      <c r="K169" s="129" t="s">
        <v>148</v>
      </c>
      <c r="L169" s="27"/>
      <c r="M169" s="133" t="s">
        <v>1</v>
      </c>
      <c r="N169" s="134" t="s">
        <v>39</v>
      </c>
      <c r="O169" s="135">
        <v>0.152</v>
      </c>
      <c r="P169" s="135">
        <f t="shared" si="11"/>
        <v>22.1312</v>
      </c>
      <c r="Q169" s="135">
        <v>0</v>
      </c>
      <c r="R169" s="135">
        <f t="shared" si="12"/>
        <v>0</v>
      </c>
      <c r="S169" s="135">
        <v>0</v>
      </c>
      <c r="T169" s="136">
        <f t="shared" si="13"/>
        <v>0</v>
      </c>
      <c r="AR169" s="137" t="s">
        <v>149</v>
      </c>
      <c r="AT169" s="137" t="s">
        <v>144</v>
      </c>
      <c r="AU169" s="137" t="s">
        <v>143</v>
      </c>
      <c r="AY169" s="15" t="s">
        <v>141</v>
      </c>
      <c r="BE169" s="138">
        <f t="shared" si="14"/>
        <v>0</v>
      </c>
      <c r="BF169" s="138">
        <f t="shared" si="15"/>
        <v>18636.8</v>
      </c>
      <c r="BG169" s="138">
        <f t="shared" si="16"/>
        <v>0</v>
      </c>
      <c r="BH169" s="138">
        <f t="shared" si="17"/>
        <v>0</v>
      </c>
      <c r="BI169" s="138">
        <f t="shared" si="18"/>
        <v>0</v>
      </c>
      <c r="BJ169" s="15" t="s">
        <v>143</v>
      </c>
      <c r="BK169" s="138">
        <f t="shared" si="19"/>
        <v>18636.8</v>
      </c>
      <c r="BL169" s="15" t="s">
        <v>149</v>
      </c>
      <c r="BM169" s="137" t="s">
        <v>231</v>
      </c>
    </row>
    <row r="170" spans="2:65" s="1" customFormat="1" ht="24.2" customHeight="1">
      <c r="B170" s="126"/>
      <c r="C170" s="127" t="s">
        <v>232</v>
      </c>
      <c r="D170" s="127" t="s">
        <v>144</v>
      </c>
      <c r="E170" s="128" t="s">
        <v>233</v>
      </c>
      <c r="F170" s="129" t="s">
        <v>234</v>
      </c>
      <c r="G170" s="130" t="s">
        <v>179</v>
      </c>
      <c r="H170" s="131">
        <v>25.22</v>
      </c>
      <c r="I170" s="132">
        <v>62000</v>
      </c>
      <c r="J170" s="132">
        <f t="shared" si="10"/>
        <v>1563640</v>
      </c>
      <c r="K170" s="129" t="s">
        <v>148</v>
      </c>
      <c r="L170" s="27"/>
      <c r="M170" s="133" t="s">
        <v>1</v>
      </c>
      <c r="N170" s="134" t="s">
        <v>39</v>
      </c>
      <c r="O170" s="135">
        <v>23.968</v>
      </c>
      <c r="P170" s="135">
        <f t="shared" si="11"/>
        <v>604.47295999999994</v>
      </c>
      <c r="Q170" s="135">
        <v>1.0606199999999999</v>
      </c>
      <c r="R170" s="135">
        <f t="shared" si="12"/>
        <v>26.748836399999995</v>
      </c>
      <c r="S170" s="135">
        <v>0</v>
      </c>
      <c r="T170" s="136">
        <f t="shared" si="13"/>
        <v>0</v>
      </c>
      <c r="AR170" s="137" t="s">
        <v>149</v>
      </c>
      <c r="AT170" s="137" t="s">
        <v>144</v>
      </c>
      <c r="AU170" s="137" t="s">
        <v>143</v>
      </c>
      <c r="AY170" s="15" t="s">
        <v>141</v>
      </c>
      <c r="BE170" s="138">
        <f t="shared" si="14"/>
        <v>0</v>
      </c>
      <c r="BF170" s="138">
        <f t="shared" si="15"/>
        <v>1563640</v>
      </c>
      <c r="BG170" s="138">
        <f t="shared" si="16"/>
        <v>0</v>
      </c>
      <c r="BH170" s="138">
        <f t="shared" si="17"/>
        <v>0</v>
      </c>
      <c r="BI170" s="138">
        <f t="shared" si="18"/>
        <v>0</v>
      </c>
      <c r="BJ170" s="15" t="s">
        <v>143</v>
      </c>
      <c r="BK170" s="138">
        <f t="shared" si="19"/>
        <v>1563640</v>
      </c>
      <c r="BL170" s="15" t="s">
        <v>149</v>
      </c>
      <c r="BM170" s="137" t="s">
        <v>235</v>
      </c>
    </row>
    <row r="171" spans="2:65" s="1" customFormat="1" ht="16.5" customHeight="1">
      <c r="B171" s="126"/>
      <c r="C171" s="127" t="s">
        <v>236</v>
      </c>
      <c r="D171" s="127" t="s">
        <v>144</v>
      </c>
      <c r="E171" s="128" t="s">
        <v>237</v>
      </c>
      <c r="F171" s="129" t="s">
        <v>238</v>
      </c>
      <c r="G171" s="130" t="s">
        <v>162</v>
      </c>
      <c r="H171" s="131">
        <v>291.92</v>
      </c>
      <c r="I171" s="132">
        <v>3100</v>
      </c>
      <c r="J171" s="132">
        <f t="shared" si="10"/>
        <v>904952</v>
      </c>
      <c r="K171" s="129" t="s">
        <v>148</v>
      </c>
      <c r="L171" s="27"/>
      <c r="M171" s="133" t="s">
        <v>1</v>
      </c>
      <c r="N171" s="134" t="s">
        <v>39</v>
      </c>
      <c r="O171" s="135">
        <v>0.58399999999999996</v>
      </c>
      <c r="P171" s="135">
        <f t="shared" si="11"/>
        <v>170.48128</v>
      </c>
      <c r="Q171" s="135">
        <v>2.2563399999999998</v>
      </c>
      <c r="R171" s="135">
        <f t="shared" si="12"/>
        <v>658.67077280000001</v>
      </c>
      <c r="S171" s="135">
        <v>0</v>
      </c>
      <c r="T171" s="136">
        <f t="shared" si="13"/>
        <v>0</v>
      </c>
      <c r="AR171" s="137" t="s">
        <v>149</v>
      </c>
      <c r="AT171" s="137" t="s">
        <v>144</v>
      </c>
      <c r="AU171" s="137" t="s">
        <v>143</v>
      </c>
      <c r="AY171" s="15" t="s">
        <v>141</v>
      </c>
      <c r="BE171" s="138">
        <f t="shared" si="14"/>
        <v>0</v>
      </c>
      <c r="BF171" s="138">
        <f t="shared" si="15"/>
        <v>904952</v>
      </c>
      <c r="BG171" s="138">
        <f t="shared" si="16"/>
        <v>0</v>
      </c>
      <c r="BH171" s="138">
        <f t="shared" si="17"/>
        <v>0</v>
      </c>
      <c r="BI171" s="138">
        <f t="shared" si="18"/>
        <v>0</v>
      </c>
      <c r="BJ171" s="15" t="s">
        <v>143</v>
      </c>
      <c r="BK171" s="138">
        <f t="shared" si="19"/>
        <v>904952</v>
      </c>
      <c r="BL171" s="15" t="s">
        <v>149</v>
      </c>
      <c r="BM171" s="137" t="s">
        <v>239</v>
      </c>
    </row>
    <row r="172" spans="2:65" s="1" customFormat="1" ht="16.5" customHeight="1">
      <c r="B172" s="126"/>
      <c r="C172" s="127" t="s">
        <v>240</v>
      </c>
      <c r="D172" s="127" t="s">
        <v>144</v>
      </c>
      <c r="E172" s="128" t="s">
        <v>241</v>
      </c>
      <c r="F172" s="129" t="s">
        <v>242</v>
      </c>
      <c r="G172" s="130" t="s">
        <v>157</v>
      </c>
      <c r="H172" s="131">
        <v>1410.24</v>
      </c>
      <c r="I172" s="132">
        <v>364</v>
      </c>
      <c r="J172" s="132">
        <f t="shared" si="10"/>
        <v>513327.35999999999</v>
      </c>
      <c r="K172" s="129" t="s">
        <v>148</v>
      </c>
      <c r="L172" s="27"/>
      <c r="M172" s="133" t="s">
        <v>1</v>
      </c>
      <c r="N172" s="134" t="s">
        <v>39</v>
      </c>
      <c r="O172" s="135">
        <v>0.247</v>
      </c>
      <c r="P172" s="135">
        <f t="shared" si="11"/>
        <v>348.32927999999998</v>
      </c>
      <c r="Q172" s="135">
        <v>2.6900000000000001E-3</v>
      </c>
      <c r="R172" s="135">
        <f t="shared" si="12"/>
        <v>3.7935456000000003</v>
      </c>
      <c r="S172" s="135">
        <v>0</v>
      </c>
      <c r="T172" s="136">
        <f t="shared" si="13"/>
        <v>0</v>
      </c>
      <c r="AR172" s="137" t="s">
        <v>149</v>
      </c>
      <c r="AT172" s="137" t="s">
        <v>144</v>
      </c>
      <c r="AU172" s="137" t="s">
        <v>143</v>
      </c>
      <c r="AY172" s="15" t="s">
        <v>141</v>
      </c>
      <c r="BE172" s="138">
        <f t="shared" si="14"/>
        <v>0</v>
      </c>
      <c r="BF172" s="138">
        <f t="shared" si="15"/>
        <v>513327.35999999999</v>
      </c>
      <c r="BG172" s="138">
        <f t="shared" si="16"/>
        <v>0</v>
      </c>
      <c r="BH172" s="138">
        <f t="shared" si="17"/>
        <v>0</v>
      </c>
      <c r="BI172" s="138">
        <f t="shared" si="18"/>
        <v>0</v>
      </c>
      <c r="BJ172" s="15" t="s">
        <v>143</v>
      </c>
      <c r="BK172" s="138">
        <f t="shared" si="19"/>
        <v>513327.35999999999</v>
      </c>
      <c r="BL172" s="15" t="s">
        <v>149</v>
      </c>
      <c r="BM172" s="137" t="s">
        <v>243</v>
      </c>
    </row>
    <row r="173" spans="2:65" s="1" customFormat="1" ht="16.5" customHeight="1">
      <c r="B173" s="126"/>
      <c r="C173" s="127" t="s">
        <v>244</v>
      </c>
      <c r="D173" s="127" t="s">
        <v>144</v>
      </c>
      <c r="E173" s="128" t="s">
        <v>245</v>
      </c>
      <c r="F173" s="129" t="s">
        <v>246</v>
      </c>
      <c r="G173" s="130" t="s">
        <v>157</v>
      </c>
      <c r="H173" s="131">
        <v>1410.24</v>
      </c>
      <c r="I173" s="132">
        <v>73.2</v>
      </c>
      <c r="J173" s="132">
        <f t="shared" si="10"/>
        <v>103229.57</v>
      </c>
      <c r="K173" s="129" t="s">
        <v>148</v>
      </c>
      <c r="L173" s="27"/>
      <c r="M173" s="133" t="s">
        <v>1</v>
      </c>
      <c r="N173" s="134" t="s">
        <v>39</v>
      </c>
      <c r="O173" s="135">
        <v>8.3000000000000004E-2</v>
      </c>
      <c r="P173" s="135">
        <f t="shared" si="11"/>
        <v>117.04992</v>
      </c>
      <c r="Q173" s="135">
        <v>0</v>
      </c>
      <c r="R173" s="135">
        <f t="shared" si="12"/>
        <v>0</v>
      </c>
      <c r="S173" s="135">
        <v>0</v>
      </c>
      <c r="T173" s="136">
        <f t="shared" si="13"/>
        <v>0</v>
      </c>
      <c r="AR173" s="137" t="s">
        <v>149</v>
      </c>
      <c r="AT173" s="137" t="s">
        <v>144</v>
      </c>
      <c r="AU173" s="137" t="s">
        <v>143</v>
      </c>
      <c r="AY173" s="15" t="s">
        <v>141</v>
      </c>
      <c r="BE173" s="138">
        <f t="shared" si="14"/>
        <v>0</v>
      </c>
      <c r="BF173" s="138">
        <f t="shared" si="15"/>
        <v>103229.57</v>
      </c>
      <c r="BG173" s="138">
        <f t="shared" si="16"/>
        <v>0</v>
      </c>
      <c r="BH173" s="138">
        <f t="shared" si="17"/>
        <v>0</v>
      </c>
      <c r="BI173" s="138">
        <f t="shared" si="18"/>
        <v>0</v>
      </c>
      <c r="BJ173" s="15" t="s">
        <v>143</v>
      </c>
      <c r="BK173" s="138">
        <f t="shared" si="19"/>
        <v>103229.57</v>
      </c>
      <c r="BL173" s="15" t="s">
        <v>149</v>
      </c>
      <c r="BM173" s="137" t="s">
        <v>247</v>
      </c>
    </row>
    <row r="174" spans="2:65" s="11" customFormat="1" ht="22.9" customHeight="1">
      <c r="B174" s="115"/>
      <c r="D174" s="116" t="s">
        <v>72</v>
      </c>
      <c r="E174" s="124" t="s">
        <v>151</v>
      </c>
      <c r="F174" s="124" t="s">
        <v>248</v>
      </c>
      <c r="J174" s="125">
        <f>BK174</f>
        <v>3755802.09</v>
      </c>
      <c r="L174" s="115"/>
      <c r="M174" s="119"/>
      <c r="P174" s="120">
        <f>SUM(P175:P179)</f>
        <v>1935.62628</v>
      </c>
      <c r="R174" s="120">
        <f>SUM(R175:R179)</f>
        <v>558.05079913000009</v>
      </c>
      <c r="T174" s="121">
        <f>SUM(T175:T179)</f>
        <v>0</v>
      </c>
      <c r="AR174" s="116" t="s">
        <v>81</v>
      </c>
      <c r="AT174" s="122" t="s">
        <v>72</v>
      </c>
      <c r="AU174" s="122" t="s">
        <v>81</v>
      </c>
      <c r="AY174" s="116" t="s">
        <v>141</v>
      </c>
      <c r="BK174" s="123">
        <f>SUM(BK175:BK179)</f>
        <v>3755802.09</v>
      </c>
    </row>
    <row r="175" spans="2:65" s="1" customFormat="1" ht="24.2" customHeight="1">
      <c r="B175" s="126"/>
      <c r="C175" s="127" t="s">
        <v>249</v>
      </c>
      <c r="D175" s="127" t="s">
        <v>144</v>
      </c>
      <c r="E175" s="128" t="s">
        <v>250</v>
      </c>
      <c r="F175" s="129" t="s">
        <v>251</v>
      </c>
      <c r="G175" s="130" t="s">
        <v>157</v>
      </c>
      <c r="H175" s="131">
        <v>1120.31</v>
      </c>
      <c r="I175" s="132">
        <v>1349.2</v>
      </c>
      <c r="J175" s="132">
        <f>ROUND(I175*H175,2)</f>
        <v>1511522.25</v>
      </c>
      <c r="K175" s="129" t="s">
        <v>1</v>
      </c>
      <c r="L175" s="27"/>
      <c r="M175" s="133" t="s">
        <v>1</v>
      </c>
      <c r="N175" s="134" t="s">
        <v>39</v>
      </c>
      <c r="O175" s="135">
        <v>0.69</v>
      </c>
      <c r="P175" s="135">
        <f>O175*H175</f>
        <v>773.01389999999992</v>
      </c>
      <c r="Q175" s="135">
        <v>0.22158</v>
      </c>
      <c r="R175" s="135">
        <f>Q175*H175</f>
        <v>248.23828979999999</v>
      </c>
      <c r="S175" s="135">
        <v>0</v>
      </c>
      <c r="T175" s="136">
        <f>S175*H175</f>
        <v>0</v>
      </c>
      <c r="AR175" s="137" t="s">
        <v>149</v>
      </c>
      <c r="AT175" s="137" t="s">
        <v>144</v>
      </c>
      <c r="AU175" s="137" t="s">
        <v>143</v>
      </c>
      <c r="AY175" s="15" t="s">
        <v>141</v>
      </c>
      <c r="BE175" s="138">
        <f>IF(N175="základní",J175,0)</f>
        <v>0</v>
      </c>
      <c r="BF175" s="138">
        <f>IF(N175="snížená",J175,0)</f>
        <v>1511522.25</v>
      </c>
      <c r="BG175" s="138">
        <f>IF(N175="zákl. přenesená",J175,0)</f>
        <v>0</v>
      </c>
      <c r="BH175" s="138">
        <f>IF(N175="sníž. přenesená",J175,0)</f>
        <v>0</v>
      </c>
      <c r="BI175" s="138">
        <f>IF(N175="nulová",J175,0)</f>
        <v>0</v>
      </c>
      <c r="BJ175" s="15" t="s">
        <v>143</v>
      </c>
      <c r="BK175" s="138">
        <f>ROUND(I175*H175,2)</f>
        <v>1511522.25</v>
      </c>
      <c r="BL175" s="15" t="s">
        <v>149</v>
      </c>
      <c r="BM175" s="137" t="s">
        <v>252</v>
      </c>
    </row>
    <row r="176" spans="2:65" s="1" customFormat="1" ht="24.2" customHeight="1">
      <c r="B176" s="126"/>
      <c r="C176" s="127" t="s">
        <v>253</v>
      </c>
      <c r="D176" s="127" t="s">
        <v>144</v>
      </c>
      <c r="E176" s="128" t="s">
        <v>254</v>
      </c>
      <c r="F176" s="129" t="s">
        <v>255</v>
      </c>
      <c r="G176" s="130" t="s">
        <v>157</v>
      </c>
      <c r="H176" s="131">
        <v>950.49400000000003</v>
      </c>
      <c r="I176" s="132">
        <v>1760</v>
      </c>
      <c r="J176" s="132">
        <f>ROUND(I176*H176,2)</f>
        <v>1672869.44</v>
      </c>
      <c r="K176" s="129" t="s">
        <v>148</v>
      </c>
      <c r="L176" s="27"/>
      <c r="M176" s="133" t="s">
        <v>1</v>
      </c>
      <c r="N176" s="134" t="s">
        <v>39</v>
      </c>
      <c r="O176" s="135">
        <v>0.83</v>
      </c>
      <c r="P176" s="135">
        <f>O176*H176</f>
        <v>788.91002000000003</v>
      </c>
      <c r="Q176" s="135">
        <v>0.25933</v>
      </c>
      <c r="R176" s="135">
        <f>Q176*H176</f>
        <v>246.49160902</v>
      </c>
      <c r="S176" s="135">
        <v>0</v>
      </c>
      <c r="T176" s="136">
        <f>S176*H176</f>
        <v>0</v>
      </c>
      <c r="AR176" s="137" t="s">
        <v>149</v>
      </c>
      <c r="AT176" s="137" t="s">
        <v>144</v>
      </c>
      <c r="AU176" s="137" t="s">
        <v>143</v>
      </c>
      <c r="AY176" s="15" t="s">
        <v>141</v>
      </c>
      <c r="BE176" s="138">
        <f>IF(N176="základní",J176,0)</f>
        <v>0</v>
      </c>
      <c r="BF176" s="138">
        <f>IF(N176="snížená",J176,0)</f>
        <v>1672869.44</v>
      </c>
      <c r="BG176" s="138">
        <f>IF(N176="zákl. přenesená",J176,0)</f>
        <v>0</v>
      </c>
      <c r="BH176" s="138">
        <f>IF(N176="sníž. přenesená",J176,0)</f>
        <v>0</v>
      </c>
      <c r="BI176" s="138">
        <f>IF(N176="nulová",J176,0)</f>
        <v>0</v>
      </c>
      <c r="BJ176" s="15" t="s">
        <v>143</v>
      </c>
      <c r="BK176" s="138">
        <f>ROUND(I176*H176,2)</f>
        <v>1672869.44</v>
      </c>
      <c r="BL176" s="15" t="s">
        <v>149</v>
      </c>
      <c r="BM176" s="137" t="s">
        <v>256</v>
      </c>
    </row>
    <row r="177" spans="2:65" s="1" customFormat="1" ht="24.2" customHeight="1">
      <c r="B177" s="126"/>
      <c r="C177" s="127" t="s">
        <v>257</v>
      </c>
      <c r="D177" s="127" t="s">
        <v>144</v>
      </c>
      <c r="E177" s="128" t="s">
        <v>258</v>
      </c>
      <c r="F177" s="129" t="s">
        <v>259</v>
      </c>
      <c r="G177" s="130" t="s">
        <v>157</v>
      </c>
      <c r="H177" s="131">
        <v>264.10399999999998</v>
      </c>
      <c r="I177" s="132">
        <v>798.56</v>
      </c>
      <c r="J177" s="132">
        <f>ROUND(I177*H177,2)</f>
        <v>210902.89</v>
      </c>
      <c r="K177" s="129" t="s">
        <v>1</v>
      </c>
      <c r="L177" s="27"/>
      <c r="M177" s="133" t="s">
        <v>1</v>
      </c>
      <c r="N177" s="134" t="s">
        <v>39</v>
      </c>
      <c r="O177" s="135">
        <v>0.52200000000000002</v>
      </c>
      <c r="P177" s="135">
        <f>O177*H177</f>
        <v>137.86228800000001</v>
      </c>
      <c r="Q177" s="135">
        <v>6.6379999999999995E-2</v>
      </c>
      <c r="R177" s="135">
        <f>Q177*H177</f>
        <v>17.531223519999998</v>
      </c>
      <c r="S177" s="135">
        <v>0</v>
      </c>
      <c r="T177" s="136">
        <f>S177*H177</f>
        <v>0</v>
      </c>
      <c r="AR177" s="137" t="s">
        <v>149</v>
      </c>
      <c r="AT177" s="137" t="s">
        <v>144</v>
      </c>
      <c r="AU177" s="137" t="s">
        <v>143</v>
      </c>
      <c r="AY177" s="15" t="s">
        <v>141</v>
      </c>
      <c r="BE177" s="138">
        <f>IF(N177="základní",J177,0)</f>
        <v>0</v>
      </c>
      <c r="BF177" s="138">
        <f>IF(N177="snížená",J177,0)</f>
        <v>210902.89</v>
      </c>
      <c r="BG177" s="138">
        <f>IF(N177="zákl. přenesená",J177,0)</f>
        <v>0</v>
      </c>
      <c r="BH177" s="138">
        <f>IF(N177="sníž. přenesená",J177,0)</f>
        <v>0</v>
      </c>
      <c r="BI177" s="138">
        <f>IF(N177="nulová",J177,0)</f>
        <v>0</v>
      </c>
      <c r="BJ177" s="15" t="s">
        <v>143</v>
      </c>
      <c r="BK177" s="138">
        <f>ROUND(I177*H177,2)</f>
        <v>210902.89</v>
      </c>
      <c r="BL177" s="15" t="s">
        <v>149</v>
      </c>
      <c r="BM177" s="137" t="s">
        <v>260</v>
      </c>
    </row>
    <row r="178" spans="2:65" s="1" customFormat="1" ht="24.2" customHeight="1">
      <c r="B178" s="126"/>
      <c r="C178" s="127" t="s">
        <v>261</v>
      </c>
      <c r="D178" s="127" t="s">
        <v>144</v>
      </c>
      <c r="E178" s="128" t="s">
        <v>262</v>
      </c>
      <c r="F178" s="129" t="s">
        <v>263</v>
      </c>
      <c r="G178" s="130" t="s">
        <v>157</v>
      </c>
      <c r="H178" s="131">
        <v>414.22899999999998</v>
      </c>
      <c r="I178" s="132">
        <v>865.03</v>
      </c>
      <c r="J178" s="132">
        <f>ROUND(I178*H178,2)</f>
        <v>358320.51</v>
      </c>
      <c r="K178" s="129" t="s">
        <v>1</v>
      </c>
      <c r="L178" s="27"/>
      <c r="M178" s="133" t="s">
        <v>1</v>
      </c>
      <c r="N178" s="134" t="s">
        <v>39</v>
      </c>
      <c r="O178" s="135">
        <v>0.56799999999999995</v>
      </c>
      <c r="P178" s="135">
        <f>O178*H178</f>
        <v>235.28207199999997</v>
      </c>
      <c r="Q178" s="135">
        <v>0.11051</v>
      </c>
      <c r="R178" s="135">
        <f>Q178*H178</f>
        <v>45.776446789999994</v>
      </c>
      <c r="S178" s="135">
        <v>0</v>
      </c>
      <c r="T178" s="136">
        <f>S178*H178</f>
        <v>0</v>
      </c>
      <c r="AR178" s="137" t="s">
        <v>149</v>
      </c>
      <c r="AT178" s="137" t="s">
        <v>144</v>
      </c>
      <c r="AU178" s="137" t="s">
        <v>143</v>
      </c>
      <c r="AY178" s="15" t="s">
        <v>141</v>
      </c>
      <c r="BE178" s="138">
        <f>IF(N178="základní",J178,0)</f>
        <v>0</v>
      </c>
      <c r="BF178" s="138">
        <f>IF(N178="snížená",J178,0)</f>
        <v>358320.51</v>
      </c>
      <c r="BG178" s="138">
        <f>IF(N178="zákl. přenesená",J178,0)</f>
        <v>0</v>
      </c>
      <c r="BH178" s="138">
        <f>IF(N178="sníž. přenesená",J178,0)</f>
        <v>0</v>
      </c>
      <c r="BI178" s="138">
        <f>IF(N178="nulová",J178,0)</f>
        <v>0</v>
      </c>
      <c r="BJ178" s="15" t="s">
        <v>143</v>
      </c>
      <c r="BK178" s="138">
        <f>ROUND(I178*H178,2)</f>
        <v>358320.51</v>
      </c>
      <c r="BL178" s="15" t="s">
        <v>149</v>
      </c>
      <c r="BM178" s="137" t="s">
        <v>264</v>
      </c>
    </row>
    <row r="179" spans="2:65" s="1" customFormat="1" ht="21.75" customHeight="1">
      <c r="B179" s="126"/>
      <c r="C179" s="127" t="s">
        <v>265</v>
      </c>
      <c r="D179" s="127" t="s">
        <v>144</v>
      </c>
      <c r="E179" s="128" t="s">
        <v>266</v>
      </c>
      <c r="F179" s="129" t="s">
        <v>267</v>
      </c>
      <c r="G179" s="130" t="s">
        <v>193</v>
      </c>
      <c r="H179" s="131">
        <v>9</v>
      </c>
      <c r="I179" s="132">
        <v>243</v>
      </c>
      <c r="J179" s="132">
        <f>ROUND(I179*H179,2)</f>
        <v>2187</v>
      </c>
      <c r="K179" s="129" t="s">
        <v>148</v>
      </c>
      <c r="L179" s="27"/>
      <c r="M179" s="133" t="s">
        <v>1</v>
      </c>
      <c r="N179" s="134" t="s">
        <v>39</v>
      </c>
      <c r="O179" s="135">
        <v>6.2E-2</v>
      </c>
      <c r="P179" s="135">
        <f>O179*H179</f>
        <v>0.55800000000000005</v>
      </c>
      <c r="Q179" s="135">
        <v>1.47E-3</v>
      </c>
      <c r="R179" s="135">
        <f>Q179*H179</f>
        <v>1.3229999999999999E-2</v>
      </c>
      <c r="S179" s="135">
        <v>0</v>
      </c>
      <c r="T179" s="136">
        <f>S179*H179</f>
        <v>0</v>
      </c>
      <c r="AR179" s="137" t="s">
        <v>149</v>
      </c>
      <c r="AT179" s="137" t="s">
        <v>144</v>
      </c>
      <c r="AU179" s="137" t="s">
        <v>143</v>
      </c>
      <c r="AY179" s="15" t="s">
        <v>141</v>
      </c>
      <c r="BE179" s="138">
        <f>IF(N179="základní",J179,0)</f>
        <v>0</v>
      </c>
      <c r="BF179" s="138">
        <f>IF(N179="snížená",J179,0)</f>
        <v>2187</v>
      </c>
      <c r="BG179" s="138">
        <f>IF(N179="zákl. přenesená",J179,0)</f>
        <v>0</v>
      </c>
      <c r="BH179" s="138">
        <f>IF(N179="sníž. přenesená",J179,0)</f>
        <v>0</v>
      </c>
      <c r="BI179" s="138">
        <f>IF(N179="nulová",J179,0)</f>
        <v>0</v>
      </c>
      <c r="BJ179" s="15" t="s">
        <v>143</v>
      </c>
      <c r="BK179" s="138">
        <f>ROUND(I179*H179,2)</f>
        <v>2187</v>
      </c>
      <c r="BL179" s="15" t="s">
        <v>149</v>
      </c>
      <c r="BM179" s="137" t="s">
        <v>268</v>
      </c>
    </row>
    <row r="180" spans="2:65" s="11" customFormat="1" ht="22.9" customHeight="1">
      <c r="B180" s="115"/>
      <c r="D180" s="116" t="s">
        <v>72</v>
      </c>
      <c r="E180" s="124" t="s">
        <v>149</v>
      </c>
      <c r="F180" s="124" t="s">
        <v>269</v>
      </c>
      <c r="J180" s="125">
        <f>BK180</f>
        <v>4497232.4399999995</v>
      </c>
      <c r="L180" s="115"/>
      <c r="M180" s="119"/>
      <c r="P180" s="120">
        <f>SUM(P181:P195)</f>
        <v>2336.3073640000002</v>
      </c>
      <c r="R180" s="120">
        <f>SUM(R181:R195)</f>
        <v>644.72736887999997</v>
      </c>
      <c r="T180" s="121">
        <f>SUM(T181:T195)</f>
        <v>0</v>
      </c>
      <c r="AR180" s="116" t="s">
        <v>81</v>
      </c>
      <c r="AT180" s="122" t="s">
        <v>72</v>
      </c>
      <c r="AU180" s="122" t="s">
        <v>81</v>
      </c>
      <c r="AY180" s="116" t="s">
        <v>141</v>
      </c>
      <c r="BK180" s="123">
        <f>SUM(BK181:BK195)</f>
        <v>4497232.4399999995</v>
      </c>
    </row>
    <row r="181" spans="2:65" s="1" customFormat="1" ht="16.5" customHeight="1">
      <c r="B181" s="126"/>
      <c r="C181" s="127" t="s">
        <v>270</v>
      </c>
      <c r="D181" s="127" t="s">
        <v>144</v>
      </c>
      <c r="E181" s="128" t="s">
        <v>271</v>
      </c>
      <c r="F181" s="129" t="s">
        <v>272</v>
      </c>
      <c r="G181" s="130" t="s">
        <v>162</v>
      </c>
      <c r="H181" s="131">
        <v>183.46100000000001</v>
      </c>
      <c r="I181" s="132">
        <v>4020</v>
      </c>
      <c r="J181" s="132">
        <f t="shared" ref="J181:J195" si="20">ROUND(I181*H181,2)</f>
        <v>737513.22</v>
      </c>
      <c r="K181" s="129" t="s">
        <v>148</v>
      </c>
      <c r="L181" s="27"/>
      <c r="M181" s="133" t="s">
        <v>1</v>
      </c>
      <c r="N181" s="134" t="s">
        <v>39</v>
      </c>
      <c r="O181" s="135">
        <v>1.224</v>
      </c>
      <c r="P181" s="135">
        <f t="shared" ref="P181:P195" si="21">O181*H181</f>
        <v>224.556264</v>
      </c>
      <c r="Q181" s="135">
        <v>2.45343</v>
      </c>
      <c r="R181" s="135">
        <f t="shared" ref="R181:R195" si="22">Q181*H181</f>
        <v>450.10872123000001</v>
      </c>
      <c r="S181" s="135">
        <v>0</v>
      </c>
      <c r="T181" s="136">
        <f t="shared" ref="T181:T195" si="23">S181*H181</f>
        <v>0</v>
      </c>
      <c r="AR181" s="137" t="s">
        <v>149</v>
      </c>
      <c r="AT181" s="137" t="s">
        <v>144</v>
      </c>
      <c r="AU181" s="137" t="s">
        <v>143</v>
      </c>
      <c r="AY181" s="15" t="s">
        <v>141</v>
      </c>
      <c r="BE181" s="138">
        <f t="shared" ref="BE181:BE195" si="24">IF(N181="základní",J181,0)</f>
        <v>0</v>
      </c>
      <c r="BF181" s="138">
        <f t="shared" ref="BF181:BF195" si="25">IF(N181="snížená",J181,0)</f>
        <v>737513.22</v>
      </c>
      <c r="BG181" s="138">
        <f t="shared" ref="BG181:BG195" si="26">IF(N181="zákl. přenesená",J181,0)</f>
        <v>0</v>
      </c>
      <c r="BH181" s="138">
        <f t="shared" ref="BH181:BH195" si="27">IF(N181="sníž. přenesená",J181,0)</f>
        <v>0</v>
      </c>
      <c r="BI181" s="138">
        <f t="shared" ref="BI181:BI195" si="28">IF(N181="nulová",J181,0)</f>
        <v>0</v>
      </c>
      <c r="BJ181" s="15" t="s">
        <v>143</v>
      </c>
      <c r="BK181" s="138">
        <f t="shared" ref="BK181:BK195" si="29">ROUND(I181*H181,2)</f>
        <v>737513.22</v>
      </c>
      <c r="BL181" s="15" t="s">
        <v>149</v>
      </c>
      <c r="BM181" s="137" t="s">
        <v>273</v>
      </c>
    </row>
    <row r="182" spans="2:65" s="1" customFormat="1" ht="24.2" customHeight="1">
      <c r="B182" s="126"/>
      <c r="C182" s="127" t="s">
        <v>274</v>
      </c>
      <c r="D182" s="127" t="s">
        <v>144</v>
      </c>
      <c r="E182" s="128" t="s">
        <v>275</v>
      </c>
      <c r="F182" s="129" t="s">
        <v>276</v>
      </c>
      <c r="G182" s="130" t="s">
        <v>157</v>
      </c>
      <c r="H182" s="131">
        <v>777.125</v>
      </c>
      <c r="I182" s="132">
        <v>522</v>
      </c>
      <c r="J182" s="132">
        <f t="shared" si="20"/>
        <v>405659.25</v>
      </c>
      <c r="K182" s="129" t="s">
        <v>148</v>
      </c>
      <c r="L182" s="27"/>
      <c r="M182" s="133" t="s">
        <v>1</v>
      </c>
      <c r="N182" s="134" t="s">
        <v>39</v>
      </c>
      <c r="O182" s="135">
        <v>0.377</v>
      </c>
      <c r="P182" s="135">
        <f t="shared" si="21"/>
        <v>292.97612500000002</v>
      </c>
      <c r="Q182" s="135">
        <v>5.3299999999999997E-3</v>
      </c>
      <c r="R182" s="135">
        <f t="shared" si="22"/>
        <v>4.1420762499999997</v>
      </c>
      <c r="S182" s="135">
        <v>0</v>
      </c>
      <c r="T182" s="136">
        <f t="shared" si="23"/>
        <v>0</v>
      </c>
      <c r="AR182" s="137" t="s">
        <v>149</v>
      </c>
      <c r="AT182" s="137" t="s">
        <v>144</v>
      </c>
      <c r="AU182" s="137" t="s">
        <v>143</v>
      </c>
      <c r="AY182" s="15" t="s">
        <v>141</v>
      </c>
      <c r="BE182" s="138">
        <f t="shared" si="24"/>
        <v>0</v>
      </c>
      <c r="BF182" s="138">
        <f t="shared" si="25"/>
        <v>405659.25</v>
      </c>
      <c r="BG182" s="138">
        <f t="shared" si="26"/>
        <v>0</v>
      </c>
      <c r="BH182" s="138">
        <f t="shared" si="27"/>
        <v>0</v>
      </c>
      <c r="BI182" s="138">
        <f t="shared" si="28"/>
        <v>0</v>
      </c>
      <c r="BJ182" s="15" t="s">
        <v>143</v>
      </c>
      <c r="BK182" s="138">
        <f t="shared" si="29"/>
        <v>405659.25</v>
      </c>
      <c r="BL182" s="15" t="s">
        <v>149</v>
      </c>
      <c r="BM182" s="137" t="s">
        <v>277</v>
      </c>
    </row>
    <row r="183" spans="2:65" s="1" customFormat="1" ht="24.2" customHeight="1">
      <c r="B183" s="126"/>
      <c r="C183" s="127" t="s">
        <v>278</v>
      </c>
      <c r="D183" s="127" t="s">
        <v>144</v>
      </c>
      <c r="E183" s="128" t="s">
        <v>279</v>
      </c>
      <c r="F183" s="129" t="s">
        <v>280</v>
      </c>
      <c r="G183" s="130" t="s">
        <v>157</v>
      </c>
      <c r="H183" s="131">
        <v>777.125</v>
      </c>
      <c r="I183" s="132">
        <v>132</v>
      </c>
      <c r="J183" s="132">
        <f t="shared" si="20"/>
        <v>102580.5</v>
      </c>
      <c r="K183" s="129" t="s">
        <v>148</v>
      </c>
      <c r="L183" s="27"/>
      <c r="M183" s="133" t="s">
        <v>1</v>
      </c>
      <c r="N183" s="134" t="s">
        <v>39</v>
      </c>
      <c r="O183" s="135">
        <v>0.22500000000000001</v>
      </c>
      <c r="P183" s="135">
        <f t="shared" si="21"/>
        <v>174.85312500000001</v>
      </c>
      <c r="Q183" s="135">
        <v>0</v>
      </c>
      <c r="R183" s="135">
        <f t="shared" si="22"/>
        <v>0</v>
      </c>
      <c r="S183" s="135">
        <v>0</v>
      </c>
      <c r="T183" s="136">
        <f t="shared" si="23"/>
        <v>0</v>
      </c>
      <c r="AR183" s="137" t="s">
        <v>149</v>
      </c>
      <c r="AT183" s="137" t="s">
        <v>144</v>
      </c>
      <c r="AU183" s="137" t="s">
        <v>143</v>
      </c>
      <c r="AY183" s="15" t="s">
        <v>141</v>
      </c>
      <c r="BE183" s="138">
        <f t="shared" si="24"/>
        <v>0</v>
      </c>
      <c r="BF183" s="138">
        <f t="shared" si="25"/>
        <v>102580.5</v>
      </c>
      <c r="BG183" s="138">
        <f t="shared" si="26"/>
        <v>0</v>
      </c>
      <c r="BH183" s="138">
        <f t="shared" si="27"/>
        <v>0</v>
      </c>
      <c r="BI183" s="138">
        <f t="shared" si="28"/>
        <v>0</v>
      </c>
      <c r="BJ183" s="15" t="s">
        <v>143</v>
      </c>
      <c r="BK183" s="138">
        <f t="shared" si="29"/>
        <v>102580.5</v>
      </c>
      <c r="BL183" s="15" t="s">
        <v>149</v>
      </c>
      <c r="BM183" s="137" t="s">
        <v>281</v>
      </c>
    </row>
    <row r="184" spans="2:65" s="1" customFormat="1" ht="24.2" customHeight="1">
      <c r="B184" s="126"/>
      <c r="C184" s="127" t="s">
        <v>282</v>
      </c>
      <c r="D184" s="127" t="s">
        <v>144</v>
      </c>
      <c r="E184" s="128" t="s">
        <v>283</v>
      </c>
      <c r="F184" s="129" t="s">
        <v>284</v>
      </c>
      <c r="G184" s="130" t="s">
        <v>157</v>
      </c>
      <c r="H184" s="131">
        <v>30.783999999999999</v>
      </c>
      <c r="I184" s="132">
        <v>170</v>
      </c>
      <c r="J184" s="132">
        <f t="shared" si="20"/>
        <v>5233.28</v>
      </c>
      <c r="K184" s="129" t="s">
        <v>148</v>
      </c>
      <c r="L184" s="27"/>
      <c r="M184" s="133" t="s">
        <v>1</v>
      </c>
      <c r="N184" s="134" t="s">
        <v>39</v>
      </c>
      <c r="O184" s="135">
        <v>0.16900000000000001</v>
      </c>
      <c r="P184" s="135">
        <f t="shared" si="21"/>
        <v>5.202496</v>
      </c>
      <c r="Q184" s="135">
        <v>8.0999999999999996E-4</v>
      </c>
      <c r="R184" s="135">
        <f t="shared" si="22"/>
        <v>2.4935039999999999E-2</v>
      </c>
      <c r="S184" s="135">
        <v>0</v>
      </c>
      <c r="T184" s="136">
        <f t="shared" si="23"/>
        <v>0</v>
      </c>
      <c r="AR184" s="137" t="s">
        <v>149</v>
      </c>
      <c r="AT184" s="137" t="s">
        <v>144</v>
      </c>
      <c r="AU184" s="137" t="s">
        <v>143</v>
      </c>
      <c r="AY184" s="15" t="s">
        <v>141</v>
      </c>
      <c r="BE184" s="138">
        <f t="shared" si="24"/>
        <v>0</v>
      </c>
      <c r="BF184" s="138">
        <f t="shared" si="25"/>
        <v>5233.28</v>
      </c>
      <c r="BG184" s="138">
        <f t="shared" si="26"/>
        <v>0</v>
      </c>
      <c r="BH184" s="138">
        <f t="shared" si="27"/>
        <v>0</v>
      </c>
      <c r="BI184" s="138">
        <f t="shared" si="28"/>
        <v>0</v>
      </c>
      <c r="BJ184" s="15" t="s">
        <v>143</v>
      </c>
      <c r="BK184" s="138">
        <f t="shared" si="29"/>
        <v>5233.28</v>
      </c>
      <c r="BL184" s="15" t="s">
        <v>149</v>
      </c>
      <c r="BM184" s="137" t="s">
        <v>285</v>
      </c>
    </row>
    <row r="185" spans="2:65" s="1" customFormat="1" ht="24.2" customHeight="1">
      <c r="B185" s="126"/>
      <c r="C185" s="127" t="s">
        <v>286</v>
      </c>
      <c r="D185" s="127" t="s">
        <v>144</v>
      </c>
      <c r="E185" s="128" t="s">
        <v>287</v>
      </c>
      <c r="F185" s="129" t="s">
        <v>288</v>
      </c>
      <c r="G185" s="130" t="s">
        <v>157</v>
      </c>
      <c r="H185" s="131">
        <v>30.783999999999999</v>
      </c>
      <c r="I185" s="132">
        <v>50.6</v>
      </c>
      <c r="J185" s="132">
        <f t="shared" si="20"/>
        <v>1557.67</v>
      </c>
      <c r="K185" s="129" t="s">
        <v>148</v>
      </c>
      <c r="L185" s="27"/>
      <c r="M185" s="133" t="s">
        <v>1</v>
      </c>
      <c r="N185" s="134" t="s">
        <v>39</v>
      </c>
      <c r="O185" s="135">
        <v>0.08</v>
      </c>
      <c r="P185" s="135">
        <f t="shared" si="21"/>
        <v>2.46272</v>
      </c>
      <c r="Q185" s="135">
        <v>0</v>
      </c>
      <c r="R185" s="135">
        <f t="shared" si="22"/>
        <v>0</v>
      </c>
      <c r="S185" s="135">
        <v>0</v>
      </c>
      <c r="T185" s="136">
        <f t="shared" si="23"/>
        <v>0</v>
      </c>
      <c r="AR185" s="137" t="s">
        <v>149</v>
      </c>
      <c r="AT185" s="137" t="s">
        <v>144</v>
      </c>
      <c r="AU185" s="137" t="s">
        <v>143</v>
      </c>
      <c r="AY185" s="15" t="s">
        <v>141</v>
      </c>
      <c r="BE185" s="138">
        <f t="shared" si="24"/>
        <v>0</v>
      </c>
      <c r="BF185" s="138">
        <f t="shared" si="25"/>
        <v>1557.67</v>
      </c>
      <c r="BG185" s="138">
        <f t="shared" si="26"/>
        <v>0</v>
      </c>
      <c r="BH185" s="138">
        <f t="shared" si="27"/>
        <v>0</v>
      </c>
      <c r="BI185" s="138">
        <f t="shared" si="28"/>
        <v>0</v>
      </c>
      <c r="BJ185" s="15" t="s">
        <v>143</v>
      </c>
      <c r="BK185" s="138">
        <f t="shared" si="29"/>
        <v>1557.67</v>
      </c>
      <c r="BL185" s="15" t="s">
        <v>149</v>
      </c>
      <c r="BM185" s="137" t="s">
        <v>289</v>
      </c>
    </row>
    <row r="186" spans="2:65" s="1" customFormat="1" ht="24.2" customHeight="1">
      <c r="B186" s="126"/>
      <c r="C186" s="127" t="s">
        <v>290</v>
      </c>
      <c r="D186" s="127" t="s">
        <v>144</v>
      </c>
      <c r="E186" s="128" t="s">
        <v>291</v>
      </c>
      <c r="F186" s="129" t="s">
        <v>292</v>
      </c>
      <c r="G186" s="130" t="s">
        <v>157</v>
      </c>
      <c r="H186" s="131">
        <v>746.34100000000001</v>
      </c>
      <c r="I186" s="132">
        <v>195</v>
      </c>
      <c r="J186" s="132">
        <f t="shared" si="20"/>
        <v>145536.5</v>
      </c>
      <c r="K186" s="129" t="s">
        <v>148</v>
      </c>
      <c r="L186" s="27"/>
      <c r="M186" s="133" t="s">
        <v>1</v>
      </c>
      <c r="N186" s="134" t="s">
        <v>39</v>
      </c>
      <c r="O186" s="135">
        <v>0.2</v>
      </c>
      <c r="P186" s="135">
        <f t="shared" si="21"/>
        <v>149.26820000000001</v>
      </c>
      <c r="Q186" s="135">
        <v>8.8000000000000003E-4</v>
      </c>
      <c r="R186" s="135">
        <f t="shared" si="22"/>
        <v>0.65678007999999999</v>
      </c>
      <c r="S186" s="135">
        <v>0</v>
      </c>
      <c r="T186" s="136">
        <f t="shared" si="23"/>
        <v>0</v>
      </c>
      <c r="AR186" s="137" t="s">
        <v>149</v>
      </c>
      <c r="AT186" s="137" t="s">
        <v>144</v>
      </c>
      <c r="AU186" s="137" t="s">
        <v>143</v>
      </c>
      <c r="AY186" s="15" t="s">
        <v>141</v>
      </c>
      <c r="BE186" s="138">
        <f t="shared" si="24"/>
        <v>0</v>
      </c>
      <c r="BF186" s="138">
        <f t="shared" si="25"/>
        <v>145536.5</v>
      </c>
      <c r="BG186" s="138">
        <f t="shared" si="26"/>
        <v>0</v>
      </c>
      <c r="BH186" s="138">
        <f t="shared" si="27"/>
        <v>0</v>
      </c>
      <c r="BI186" s="138">
        <f t="shared" si="28"/>
        <v>0</v>
      </c>
      <c r="BJ186" s="15" t="s">
        <v>143</v>
      </c>
      <c r="BK186" s="138">
        <f t="shared" si="29"/>
        <v>145536.5</v>
      </c>
      <c r="BL186" s="15" t="s">
        <v>149</v>
      </c>
      <c r="BM186" s="137" t="s">
        <v>293</v>
      </c>
    </row>
    <row r="187" spans="2:65" s="1" customFormat="1" ht="24.2" customHeight="1">
      <c r="B187" s="126"/>
      <c r="C187" s="127" t="s">
        <v>294</v>
      </c>
      <c r="D187" s="127" t="s">
        <v>144</v>
      </c>
      <c r="E187" s="128" t="s">
        <v>295</v>
      </c>
      <c r="F187" s="129" t="s">
        <v>296</v>
      </c>
      <c r="G187" s="130" t="s">
        <v>157</v>
      </c>
      <c r="H187" s="131">
        <v>154.846</v>
      </c>
      <c r="I187" s="132">
        <v>61.3</v>
      </c>
      <c r="J187" s="132">
        <f t="shared" si="20"/>
        <v>9492.06</v>
      </c>
      <c r="K187" s="129" t="s">
        <v>148</v>
      </c>
      <c r="L187" s="27"/>
      <c r="M187" s="133" t="s">
        <v>1</v>
      </c>
      <c r="N187" s="134" t="s">
        <v>39</v>
      </c>
      <c r="O187" s="135">
        <v>0.105</v>
      </c>
      <c r="P187" s="135">
        <f t="shared" si="21"/>
        <v>16.25883</v>
      </c>
      <c r="Q187" s="135">
        <v>0</v>
      </c>
      <c r="R187" s="135">
        <f t="shared" si="22"/>
        <v>0</v>
      </c>
      <c r="S187" s="135">
        <v>0</v>
      </c>
      <c r="T187" s="136">
        <f t="shared" si="23"/>
        <v>0</v>
      </c>
      <c r="AR187" s="137" t="s">
        <v>149</v>
      </c>
      <c r="AT187" s="137" t="s">
        <v>144</v>
      </c>
      <c r="AU187" s="137" t="s">
        <v>143</v>
      </c>
      <c r="AY187" s="15" t="s">
        <v>141</v>
      </c>
      <c r="BE187" s="138">
        <f t="shared" si="24"/>
        <v>0</v>
      </c>
      <c r="BF187" s="138">
        <f t="shared" si="25"/>
        <v>9492.06</v>
      </c>
      <c r="BG187" s="138">
        <f t="shared" si="26"/>
        <v>0</v>
      </c>
      <c r="BH187" s="138">
        <f t="shared" si="27"/>
        <v>0</v>
      </c>
      <c r="BI187" s="138">
        <f t="shared" si="28"/>
        <v>0</v>
      </c>
      <c r="BJ187" s="15" t="s">
        <v>143</v>
      </c>
      <c r="BK187" s="138">
        <f t="shared" si="29"/>
        <v>9492.06</v>
      </c>
      <c r="BL187" s="15" t="s">
        <v>149</v>
      </c>
      <c r="BM187" s="137" t="s">
        <v>297</v>
      </c>
    </row>
    <row r="188" spans="2:65" s="1" customFormat="1" ht="16.5" customHeight="1">
      <c r="B188" s="126"/>
      <c r="C188" s="127" t="s">
        <v>298</v>
      </c>
      <c r="D188" s="127" t="s">
        <v>144</v>
      </c>
      <c r="E188" s="128" t="s">
        <v>299</v>
      </c>
      <c r="F188" s="129" t="s">
        <v>300</v>
      </c>
      <c r="G188" s="130" t="s">
        <v>179</v>
      </c>
      <c r="H188" s="131">
        <v>21.111999999999998</v>
      </c>
      <c r="I188" s="132">
        <v>62900</v>
      </c>
      <c r="J188" s="132">
        <f t="shared" si="20"/>
        <v>1327944.8</v>
      </c>
      <c r="K188" s="129" t="s">
        <v>148</v>
      </c>
      <c r="L188" s="27"/>
      <c r="M188" s="133" t="s">
        <v>1</v>
      </c>
      <c r="N188" s="134" t="s">
        <v>39</v>
      </c>
      <c r="O188" s="135">
        <v>27.83</v>
      </c>
      <c r="P188" s="135">
        <f t="shared" si="21"/>
        <v>587.5469599999999</v>
      </c>
      <c r="Q188" s="135">
        <v>1.05555</v>
      </c>
      <c r="R188" s="135">
        <f t="shared" si="22"/>
        <v>22.284771599999999</v>
      </c>
      <c r="S188" s="135">
        <v>0</v>
      </c>
      <c r="T188" s="136">
        <f t="shared" si="23"/>
        <v>0</v>
      </c>
      <c r="AR188" s="137" t="s">
        <v>149</v>
      </c>
      <c r="AT188" s="137" t="s">
        <v>144</v>
      </c>
      <c r="AU188" s="137" t="s">
        <v>143</v>
      </c>
      <c r="AY188" s="15" t="s">
        <v>141</v>
      </c>
      <c r="BE188" s="138">
        <f t="shared" si="24"/>
        <v>0</v>
      </c>
      <c r="BF188" s="138">
        <f t="shared" si="25"/>
        <v>1327944.8</v>
      </c>
      <c r="BG188" s="138">
        <f t="shared" si="26"/>
        <v>0</v>
      </c>
      <c r="BH188" s="138">
        <f t="shared" si="27"/>
        <v>0</v>
      </c>
      <c r="BI188" s="138">
        <f t="shared" si="28"/>
        <v>0</v>
      </c>
      <c r="BJ188" s="15" t="s">
        <v>143</v>
      </c>
      <c r="BK188" s="138">
        <f t="shared" si="29"/>
        <v>1327944.8</v>
      </c>
      <c r="BL188" s="15" t="s">
        <v>149</v>
      </c>
      <c r="BM188" s="137" t="s">
        <v>301</v>
      </c>
    </row>
    <row r="189" spans="2:65" s="1" customFormat="1" ht="16.5" customHeight="1">
      <c r="B189" s="126"/>
      <c r="C189" s="127" t="s">
        <v>302</v>
      </c>
      <c r="D189" s="127" t="s">
        <v>144</v>
      </c>
      <c r="E189" s="128" t="s">
        <v>303</v>
      </c>
      <c r="F189" s="129" t="s">
        <v>304</v>
      </c>
      <c r="G189" s="130" t="s">
        <v>179</v>
      </c>
      <c r="H189" s="131">
        <v>8.4000000000000005E-2</v>
      </c>
      <c r="I189" s="132">
        <v>49900</v>
      </c>
      <c r="J189" s="132">
        <f t="shared" si="20"/>
        <v>4191.6000000000004</v>
      </c>
      <c r="K189" s="129" t="s">
        <v>148</v>
      </c>
      <c r="L189" s="27"/>
      <c r="M189" s="133" t="s">
        <v>1</v>
      </c>
      <c r="N189" s="134" t="s">
        <v>39</v>
      </c>
      <c r="O189" s="135">
        <v>15.211</v>
      </c>
      <c r="P189" s="135">
        <f t="shared" si="21"/>
        <v>1.2777240000000001</v>
      </c>
      <c r="Q189" s="135">
        <v>1.06277</v>
      </c>
      <c r="R189" s="135">
        <f t="shared" si="22"/>
        <v>8.9272680000000007E-2</v>
      </c>
      <c r="S189" s="135">
        <v>0</v>
      </c>
      <c r="T189" s="136">
        <f t="shared" si="23"/>
        <v>0</v>
      </c>
      <c r="AR189" s="137" t="s">
        <v>149</v>
      </c>
      <c r="AT189" s="137" t="s">
        <v>144</v>
      </c>
      <c r="AU189" s="137" t="s">
        <v>143</v>
      </c>
      <c r="AY189" s="15" t="s">
        <v>141</v>
      </c>
      <c r="BE189" s="138">
        <f t="shared" si="24"/>
        <v>0</v>
      </c>
      <c r="BF189" s="138">
        <f t="shared" si="25"/>
        <v>4191.6000000000004</v>
      </c>
      <c r="BG189" s="138">
        <f t="shared" si="26"/>
        <v>0</v>
      </c>
      <c r="BH189" s="138">
        <f t="shared" si="27"/>
        <v>0</v>
      </c>
      <c r="BI189" s="138">
        <f t="shared" si="28"/>
        <v>0</v>
      </c>
      <c r="BJ189" s="15" t="s">
        <v>143</v>
      </c>
      <c r="BK189" s="138">
        <f t="shared" si="29"/>
        <v>4191.6000000000004</v>
      </c>
      <c r="BL189" s="15" t="s">
        <v>149</v>
      </c>
      <c r="BM189" s="137" t="s">
        <v>305</v>
      </c>
    </row>
    <row r="190" spans="2:65" s="1" customFormat="1" ht="16.5" customHeight="1">
      <c r="B190" s="126"/>
      <c r="C190" s="127" t="s">
        <v>306</v>
      </c>
      <c r="D190" s="127" t="s">
        <v>144</v>
      </c>
      <c r="E190" s="128" t="s">
        <v>307</v>
      </c>
      <c r="F190" s="129" t="s">
        <v>308</v>
      </c>
      <c r="G190" s="130" t="s">
        <v>162</v>
      </c>
      <c r="H190" s="131">
        <v>62.4</v>
      </c>
      <c r="I190" s="132">
        <v>3990</v>
      </c>
      <c r="J190" s="132">
        <f t="shared" si="20"/>
        <v>248976</v>
      </c>
      <c r="K190" s="129" t="s">
        <v>148</v>
      </c>
      <c r="L190" s="27"/>
      <c r="M190" s="133" t="s">
        <v>1</v>
      </c>
      <c r="N190" s="134" t="s">
        <v>39</v>
      </c>
      <c r="O190" s="135">
        <v>1.1519999999999999</v>
      </c>
      <c r="P190" s="135">
        <f t="shared" si="21"/>
        <v>71.884799999999998</v>
      </c>
      <c r="Q190" s="135">
        <v>2.45336</v>
      </c>
      <c r="R190" s="135">
        <f t="shared" si="22"/>
        <v>153.089664</v>
      </c>
      <c r="S190" s="135">
        <v>0</v>
      </c>
      <c r="T190" s="136">
        <f t="shared" si="23"/>
        <v>0</v>
      </c>
      <c r="AR190" s="137" t="s">
        <v>149</v>
      </c>
      <c r="AT190" s="137" t="s">
        <v>144</v>
      </c>
      <c r="AU190" s="137" t="s">
        <v>143</v>
      </c>
      <c r="AY190" s="15" t="s">
        <v>141</v>
      </c>
      <c r="BE190" s="138">
        <f t="shared" si="24"/>
        <v>0</v>
      </c>
      <c r="BF190" s="138">
        <f t="shared" si="25"/>
        <v>248976</v>
      </c>
      <c r="BG190" s="138">
        <f t="shared" si="26"/>
        <v>0</v>
      </c>
      <c r="BH190" s="138">
        <f t="shared" si="27"/>
        <v>0</v>
      </c>
      <c r="BI190" s="138">
        <f t="shared" si="28"/>
        <v>0</v>
      </c>
      <c r="BJ190" s="15" t="s">
        <v>143</v>
      </c>
      <c r="BK190" s="138">
        <f t="shared" si="29"/>
        <v>248976</v>
      </c>
      <c r="BL190" s="15" t="s">
        <v>149</v>
      </c>
      <c r="BM190" s="137" t="s">
        <v>309</v>
      </c>
    </row>
    <row r="191" spans="2:65" s="1" customFormat="1" ht="24.2" customHeight="1">
      <c r="B191" s="126"/>
      <c r="C191" s="127" t="s">
        <v>310</v>
      </c>
      <c r="D191" s="127" t="s">
        <v>144</v>
      </c>
      <c r="E191" s="128" t="s">
        <v>311</v>
      </c>
      <c r="F191" s="129" t="s">
        <v>312</v>
      </c>
      <c r="G191" s="130" t="s">
        <v>157</v>
      </c>
      <c r="H191" s="131">
        <v>448.76</v>
      </c>
      <c r="I191" s="132">
        <v>849</v>
      </c>
      <c r="J191" s="132">
        <f t="shared" si="20"/>
        <v>380997.24</v>
      </c>
      <c r="K191" s="129" t="s">
        <v>148</v>
      </c>
      <c r="L191" s="27"/>
      <c r="M191" s="133" t="s">
        <v>1</v>
      </c>
      <c r="N191" s="134" t="s">
        <v>39</v>
      </c>
      <c r="O191" s="135">
        <v>0.33800000000000002</v>
      </c>
      <c r="P191" s="135">
        <f t="shared" si="21"/>
        <v>151.68088</v>
      </c>
      <c r="Q191" s="135">
        <v>4.6499999999999996E-3</v>
      </c>
      <c r="R191" s="135">
        <f t="shared" si="22"/>
        <v>2.0867339999999999</v>
      </c>
      <c r="S191" s="135">
        <v>0</v>
      </c>
      <c r="T191" s="136">
        <f t="shared" si="23"/>
        <v>0</v>
      </c>
      <c r="AR191" s="137" t="s">
        <v>149</v>
      </c>
      <c r="AT191" s="137" t="s">
        <v>144</v>
      </c>
      <c r="AU191" s="137" t="s">
        <v>143</v>
      </c>
      <c r="AY191" s="15" t="s">
        <v>141</v>
      </c>
      <c r="BE191" s="138">
        <f t="shared" si="24"/>
        <v>0</v>
      </c>
      <c r="BF191" s="138">
        <f t="shared" si="25"/>
        <v>380997.24</v>
      </c>
      <c r="BG191" s="138">
        <f t="shared" si="26"/>
        <v>0</v>
      </c>
      <c r="BH191" s="138">
        <f t="shared" si="27"/>
        <v>0</v>
      </c>
      <c r="BI191" s="138">
        <f t="shared" si="28"/>
        <v>0</v>
      </c>
      <c r="BJ191" s="15" t="s">
        <v>143</v>
      </c>
      <c r="BK191" s="138">
        <f t="shared" si="29"/>
        <v>380997.24</v>
      </c>
      <c r="BL191" s="15" t="s">
        <v>149</v>
      </c>
      <c r="BM191" s="137" t="s">
        <v>313</v>
      </c>
    </row>
    <row r="192" spans="2:65" s="1" customFormat="1" ht="24.2" customHeight="1">
      <c r="B192" s="126"/>
      <c r="C192" s="127" t="s">
        <v>314</v>
      </c>
      <c r="D192" s="127" t="s">
        <v>144</v>
      </c>
      <c r="E192" s="128" t="s">
        <v>315</v>
      </c>
      <c r="F192" s="129" t="s">
        <v>316</v>
      </c>
      <c r="G192" s="130" t="s">
        <v>157</v>
      </c>
      <c r="H192" s="131">
        <v>448.76</v>
      </c>
      <c r="I192" s="132">
        <v>136</v>
      </c>
      <c r="J192" s="132">
        <f t="shared" si="20"/>
        <v>61031.360000000001</v>
      </c>
      <c r="K192" s="129" t="s">
        <v>148</v>
      </c>
      <c r="L192" s="27"/>
      <c r="M192" s="133" t="s">
        <v>1</v>
      </c>
      <c r="N192" s="134" t="s">
        <v>39</v>
      </c>
      <c r="O192" s="135">
        <v>0.22700000000000001</v>
      </c>
      <c r="P192" s="135">
        <f t="shared" si="21"/>
        <v>101.86852</v>
      </c>
      <c r="Q192" s="135">
        <v>0</v>
      </c>
      <c r="R192" s="135">
        <f t="shared" si="22"/>
        <v>0</v>
      </c>
      <c r="S192" s="135">
        <v>0</v>
      </c>
      <c r="T192" s="136">
        <f t="shared" si="23"/>
        <v>0</v>
      </c>
      <c r="AR192" s="137" t="s">
        <v>149</v>
      </c>
      <c r="AT192" s="137" t="s">
        <v>144</v>
      </c>
      <c r="AU192" s="137" t="s">
        <v>143</v>
      </c>
      <c r="AY192" s="15" t="s">
        <v>141</v>
      </c>
      <c r="BE192" s="138">
        <f t="shared" si="24"/>
        <v>0</v>
      </c>
      <c r="BF192" s="138">
        <f t="shared" si="25"/>
        <v>61031.360000000001</v>
      </c>
      <c r="BG192" s="138">
        <f t="shared" si="26"/>
        <v>0</v>
      </c>
      <c r="BH192" s="138">
        <f t="shared" si="27"/>
        <v>0</v>
      </c>
      <c r="BI192" s="138">
        <f t="shared" si="28"/>
        <v>0</v>
      </c>
      <c r="BJ192" s="15" t="s">
        <v>143</v>
      </c>
      <c r="BK192" s="138">
        <f t="shared" si="29"/>
        <v>61031.360000000001</v>
      </c>
      <c r="BL192" s="15" t="s">
        <v>149</v>
      </c>
      <c r="BM192" s="137" t="s">
        <v>317</v>
      </c>
    </row>
    <row r="193" spans="2:65" s="1" customFormat="1" ht="33" customHeight="1">
      <c r="B193" s="126"/>
      <c r="C193" s="127" t="s">
        <v>318</v>
      </c>
      <c r="D193" s="127" t="s">
        <v>144</v>
      </c>
      <c r="E193" s="128" t="s">
        <v>319</v>
      </c>
      <c r="F193" s="129" t="s">
        <v>320</v>
      </c>
      <c r="G193" s="130" t="s">
        <v>157</v>
      </c>
      <c r="H193" s="131">
        <v>448.76</v>
      </c>
      <c r="I193" s="132">
        <v>712</v>
      </c>
      <c r="J193" s="132">
        <f t="shared" si="20"/>
        <v>319517.12</v>
      </c>
      <c r="K193" s="129" t="s">
        <v>148</v>
      </c>
      <c r="L193" s="27"/>
      <c r="M193" s="133" t="s">
        <v>1</v>
      </c>
      <c r="N193" s="134" t="s">
        <v>39</v>
      </c>
      <c r="O193" s="135">
        <v>0.374</v>
      </c>
      <c r="P193" s="135">
        <f t="shared" si="21"/>
        <v>167.83624</v>
      </c>
      <c r="Q193" s="135">
        <v>1.6100000000000001E-3</v>
      </c>
      <c r="R193" s="135">
        <f t="shared" si="22"/>
        <v>0.72250360000000002</v>
      </c>
      <c r="S193" s="135">
        <v>0</v>
      </c>
      <c r="T193" s="136">
        <f t="shared" si="23"/>
        <v>0</v>
      </c>
      <c r="AR193" s="137" t="s">
        <v>149</v>
      </c>
      <c r="AT193" s="137" t="s">
        <v>144</v>
      </c>
      <c r="AU193" s="137" t="s">
        <v>143</v>
      </c>
      <c r="AY193" s="15" t="s">
        <v>141</v>
      </c>
      <c r="BE193" s="138">
        <f t="shared" si="24"/>
        <v>0</v>
      </c>
      <c r="BF193" s="138">
        <f t="shared" si="25"/>
        <v>319517.12</v>
      </c>
      <c r="BG193" s="138">
        <f t="shared" si="26"/>
        <v>0</v>
      </c>
      <c r="BH193" s="138">
        <f t="shared" si="27"/>
        <v>0</v>
      </c>
      <c r="BI193" s="138">
        <f t="shared" si="28"/>
        <v>0</v>
      </c>
      <c r="BJ193" s="15" t="s">
        <v>143</v>
      </c>
      <c r="BK193" s="138">
        <f t="shared" si="29"/>
        <v>319517.12</v>
      </c>
      <c r="BL193" s="15" t="s">
        <v>149</v>
      </c>
      <c r="BM193" s="137" t="s">
        <v>321</v>
      </c>
    </row>
    <row r="194" spans="2:65" s="1" customFormat="1" ht="33" customHeight="1">
      <c r="B194" s="126"/>
      <c r="C194" s="127" t="s">
        <v>322</v>
      </c>
      <c r="D194" s="127" t="s">
        <v>144</v>
      </c>
      <c r="E194" s="128" t="s">
        <v>323</v>
      </c>
      <c r="F194" s="129" t="s">
        <v>324</v>
      </c>
      <c r="G194" s="130" t="s">
        <v>157</v>
      </c>
      <c r="H194" s="131">
        <v>448.76</v>
      </c>
      <c r="I194" s="132">
        <v>134</v>
      </c>
      <c r="J194" s="132">
        <f t="shared" si="20"/>
        <v>60133.84</v>
      </c>
      <c r="K194" s="129" t="s">
        <v>148</v>
      </c>
      <c r="L194" s="27"/>
      <c r="M194" s="133" t="s">
        <v>1</v>
      </c>
      <c r="N194" s="134" t="s">
        <v>39</v>
      </c>
      <c r="O194" s="135">
        <v>0.223</v>
      </c>
      <c r="P194" s="135">
        <f t="shared" si="21"/>
        <v>100.07348</v>
      </c>
      <c r="Q194" s="135">
        <v>0</v>
      </c>
      <c r="R194" s="135">
        <f t="shared" si="22"/>
        <v>0</v>
      </c>
      <c r="S194" s="135">
        <v>0</v>
      </c>
      <c r="T194" s="136">
        <f t="shared" si="23"/>
        <v>0</v>
      </c>
      <c r="AR194" s="137" t="s">
        <v>149</v>
      </c>
      <c r="AT194" s="137" t="s">
        <v>144</v>
      </c>
      <c r="AU194" s="137" t="s">
        <v>143</v>
      </c>
      <c r="AY194" s="15" t="s">
        <v>141</v>
      </c>
      <c r="BE194" s="138">
        <f t="shared" si="24"/>
        <v>0</v>
      </c>
      <c r="BF194" s="138">
        <f t="shared" si="25"/>
        <v>60133.84</v>
      </c>
      <c r="BG194" s="138">
        <f t="shared" si="26"/>
        <v>0</v>
      </c>
      <c r="BH194" s="138">
        <f t="shared" si="27"/>
        <v>0</v>
      </c>
      <c r="BI194" s="138">
        <f t="shared" si="28"/>
        <v>0</v>
      </c>
      <c r="BJ194" s="15" t="s">
        <v>143</v>
      </c>
      <c r="BK194" s="138">
        <f t="shared" si="29"/>
        <v>60133.84</v>
      </c>
      <c r="BL194" s="15" t="s">
        <v>149</v>
      </c>
      <c r="BM194" s="137" t="s">
        <v>325</v>
      </c>
    </row>
    <row r="195" spans="2:65" s="1" customFormat="1" ht="24.2" customHeight="1">
      <c r="B195" s="126"/>
      <c r="C195" s="127" t="s">
        <v>326</v>
      </c>
      <c r="D195" s="127" t="s">
        <v>144</v>
      </c>
      <c r="E195" s="128" t="s">
        <v>327</v>
      </c>
      <c r="F195" s="129" t="s">
        <v>328</v>
      </c>
      <c r="G195" s="130" t="s">
        <v>179</v>
      </c>
      <c r="H195" s="131">
        <v>10.92</v>
      </c>
      <c r="I195" s="132">
        <v>62900</v>
      </c>
      <c r="J195" s="132">
        <f t="shared" si="20"/>
        <v>686868</v>
      </c>
      <c r="K195" s="129" t="s">
        <v>148</v>
      </c>
      <c r="L195" s="27"/>
      <c r="M195" s="133" t="s">
        <v>1</v>
      </c>
      <c r="N195" s="134" t="s">
        <v>39</v>
      </c>
      <c r="O195" s="135">
        <v>26.425000000000001</v>
      </c>
      <c r="P195" s="135">
        <f t="shared" si="21"/>
        <v>288.56099999999998</v>
      </c>
      <c r="Q195" s="135">
        <v>1.0551200000000001</v>
      </c>
      <c r="R195" s="135">
        <f t="shared" si="22"/>
        <v>11.521910400000001</v>
      </c>
      <c r="S195" s="135">
        <v>0</v>
      </c>
      <c r="T195" s="136">
        <f t="shared" si="23"/>
        <v>0</v>
      </c>
      <c r="AR195" s="137" t="s">
        <v>149</v>
      </c>
      <c r="AT195" s="137" t="s">
        <v>144</v>
      </c>
      <c r="AU195" s="137" t="s">
        <v>143</v>
      </c>
      <c r="AY195" s="15" t="s">
        <v>141</v>
      </c>
      <c r="BE195" s="138">
        <f t="shared" si="24"/>
        <v>0</v>
      </c>
      <c r="BF195" s="138">
        <f t="shared" si="25"/>
        <v>686868</v>
      </c>
      <c r="BG195" s="138">
        <f t="shared" si="26"/>
        <v>0</v>
      </c>
      <c r="BH195" s="138">
        <f t="shared" si="27"/>
        <v>0</v>
      </c>
      <c r="BI195" s="138">
        <f t="shared" si="28"/>
        <v>0</v>
      </c>
      <c r="BJ195" s="15" t="s">
        <v>143</v>
      </c>
      <c r="BK195" s="138">
        <f t="shared" si="29"/>
        <v>686868</v>
      </c>
      <c r="BL195" s="15" t="s">
        <v>149</v>
      </c>
      <c r="BM195" s="137" t="s">
        <v>329</v>
      </c>
    </row>
    <row r="196" spans="2:65" s="11" customFormat="1" ht="22.9" customHeight="1">
      <c r="B196" s="115"/>
      <c r="D196" s="116" t="s">
        <v>72</v>
      </c>
      <c r="E196" s="124" t="s">
        <v>164</v>
      </c>
      <c r="F196" s="124" t="s">
        <v>330</v>
      </c>
      <c r="J196" s="125">
        <f>BK196</f>
        <v>4586903.0500000007</v>
      </c>
      <c r="L196" s="115"/>
      <c r="M196" s="119"/>
      <c r="P196" s="120">
        <f>SUM(P197:P222)</f>
        <v>4719.6060159999997</v>
      </c>
      <c r="R196" s="120">
        <f>SUM(R197:R222)</f>
        <v>394.75309094999994</v>
      </c>
      <c r="T196" s="121">
        <f>SUM(T197:T222)</f>
        <v>0</v>
      </c>
      <c r="AR196" s="116" t="s">
        <v>81</v>
      </c>
      <c r="AT196" s="122" t="s">
        <v>72</v>
      </c>
      <c r="AU196" s="122" t="s">
        <v>81</v>
      </c>
      <c r="AY196" s="116" t="s">
        <v>141</v>
      </c>
      <c r="BK196" s="123">
        <f>SUM(BK197:BK222)</f>
        <v>4586903.0500000007</v>
      </c>
    </row>
    <row r="197" spans="2:65" s="1" customFormat="1" ht="24.2" customHeight="1">
      <c r="B197" s="126"/>
      <c r="C197" s="127" t="s">
        <v>331</v>
      </c>
      <c r="D197" s="127" t="s">
        <v>144</v>
      </c>
      <c r="E197" s="128" t="s">
        <v>332</v>
      </c>
      <c r="F197" s="129" t="s">
        <v>333</v>
      </c>
      <c r="G197" s="130" t="s">
        <v>157</v>
      </c>
      <c r="H197" s="131">
        <v>94.042000000000002</v>
      </c>
      <c r="I197" s="132">
        <v>373</v>
      </c>
      <c r="J197" s="132">
        <f t="shared" ref="J197:J204" si="30">ROUND(I197*H197,2)</f>
        <v>35077.67</v>
      </c>
      <c r="K197" s="129" t="s">
        <v>148</v>
      </c>
      <c r="L197" s="27"/>
      <c r="M197" s="133" t="s">
        <v>1</v>
      </c>
      <c r="N197" s="134" t="s">
        <v>39</v>
      </c>
      <c r="O197" s="135">
        <v>0.56999999999999995</v>
      </c>
      <c r="P197" s="135">
        <f t="shared" ref="P197:P204" si="31">O197*H197</f>
        <v>53.603939999999994</v>
      </c>
      <c r="Q197" s="135">
        <v>1.8380000000000001E-2</v>
      </c>
      <c r="R197" s="135">
        <f t="shared" ref="R197:R204" si="32">Q197*H197</f>
        <v>1.7284919600000002</v>
      </c>
      <c r="S197" s="135">
        <v>0</v>
      </c>
      <c r="T197" s="136">
        <f t="shared" ref="T197:T204" si="33">S197*H197</f>
        <v>0</v>
      </c>
      <c r="AR197" s="137" t="s">
        <v>149</v>
      </c>
      <c r="AT197" s="137" t="s">
        <v>144</v>
      </c>
      <c r="AU197" s="137" t="s">
        <v>143</v>
      </c>
      <c r="AY197" s="15" t="s">
        <v>141</v>
      </c>
      <c r="BE197" s="138">
        <f t="shared" ref="BE197:BE204" si="34">IF(N197="základní",J197,0)</f>
        <v>0</v>
      </c>
      <c r="BF197" s="138">
        <f t="shared" ref="BF197:BF204" si="35">IF(N197="snížená",J197,0)</f>
        <v>35077.67</v>
      </c>
      <c r="BG197" s="138">
        <f t="shared" ref="BG197:BG204" si="36">IF(N197="zákl. přenesená",J197,0)</f>
        <v>0</v>
      </c>
      <c r="BH197" s="138">
        <f t="shared" ref="BH197:BH204" si="37">IF(N197="sníž. přenesená",J197,0)</f>
        <v>0</v>
      </c>
      <c r="BI197" s="138">
        <f t="shared" ref="BI197:BI204" si="38">IF(N197="nulová",J197,0)</f>
        <v>0</v>
      </c>
      <c r="BJ197" s="15" t="s">
        <v>143</v>
      </c>
      <c r="BK197" s="138">
        <f t="shared" ref="BK197:BK204" si="39">ROUND(I197*H197,2)</f>
        <v>35077.67</v>
      </c>
      <c r="BL197" s="15" t="s">
        <v>149</v>
      </c>
      <c r="BM197" s="137" t="s">
        <v>334</v>
      </c>
    </row>
    <row r="198" spans="2:65" s="1" customFormat="1" ht="24.2" customHeight="1">
      <c r="B198" s="126"/>
      <c r="C198" s="127" t="s">
        <v>335</v>
      </c>
      <c r="D198" s="127" t="s">
        <v>144</v>
      </c>
      <c r="E198" s="128" t="s">
        <v>336</v>
      </c>
      <c r="F198" s="129" t="s">
        <v>337</v>
      </c>
      <c r="G198" s="130" t="s">
        <v>157</v>
      </c>
      <c r="H198" s="131">
        <v>94.042000000000002</v>
      </c>
      <c r="I198" s="132">
        <v>78.5</v>
      </c>
      <c r="J198" s="132">
        <f t="shared" si="30"/>
        <v>7382.3</v>
      </c>
      <c r="K198" s="129" t="s">
        <v>148</v>
      </c>
      <c r="L198" s="27"/>
      <c r="M198" s="133" t="s">
        <v>1</v>
      </c>
      <c r="N198" s="134" t="s">
        <v>39</v>
      </c>
      <c r="O198" s="135">
        <v>0.1</v>
      </c>
      <c r="P198" s="135">
        <f t="shared" si="31"/>
        <v>9.4042000000000012</v>
      </c>
      <c r="Q198" s="135">
        <v>7.9000000000000008E-3</v>
      </c>
      <c r="R198" s="135">
        <f t="shared" si="32"/>
        <v>0.74293180000000003</v>
      </c>
      <c r="S198" s="135">
        <v>0</v>
      </c>
      <c r="T198" s="136">
        <f t="shared" si="33"/>
        <v>0</v>
      </c>
      <c r="AR198" s="137" t="s">
        <v>149</v>
      </c>
      <c r="AT198" s="137" t="s">
        <v>144</v>
      </c>
      <c r="AU198" s="137" t="s">
        <v>143</v>
      </c>
      <c r="AY198" s="15" t="s">
        <v>141</v>
      </c>
      <c r="BE198" s="138">
        <f t="shared" si="34"/>
        <v>0</v>
      </c>
      <c r="BF198" s="138">
        <f t="shared" si="35"/>
        <v>7382.3</v>
      </c>
      <c r="BG198" s="138">
        <f t="shared" si="36"/>
        <v>0</v>
      </c>
      <c r="BH198" s="138">
        <f t="shared" si="37"/>
        <v>0</v>
      </c>
      <c r="BI198" s="138">
        <f t="shared" si="38"/>
        <v>0</v>
      </c>
      <c r="BJ198" s="15" t="s">
        <v>143</v>
      </c>
      <c r="BK198" s="138">
        <f t="shared" si="39"/>
        <v>7382.3</v>
      </c>
      <c r="BL198" s="15" t="s">
        <v>149</v>
      </c>
      <c r="BM198" s="137" t="s">
        <v>338</v>
      </c>
    </row>
    <row r="199" spans="2:65" s="1" customFormat="1" ht="24.2" customHeight="1">
      <c r="B199" s="126"/>
      <c r="C199" s="127" t="s">
        <v>339</v>
      </c>
      <c r="D199" s="127" t="s">
        <v>144</v>
      </c>
      <c r="E199" s="128" t="s">
        <v>340</v>
      </c>
      <c r="F199" s="129" t="s">
        <v>341</v>
      </c>
      <c r="G199" s="130" t="s">
        <v>157</v>
      </c>
      <c r="H199" s="131">
        <v>4547.8339999999998</v>
      </c>
      <c r="I199" s="132">
        <v>322</v>
      </c>
      <c r="J199" s="132">
        <f t="shared" si="30"/>
        <v>1464402.55</v>
      </c>
      <c r="K199" s="129" t="s">
        <v>148</v>
      </c>
      <c r="L199" s="27"/>
      <c r="M199" s="133" t="s">
        <v>1</v>
      </c>
      <c r="N199" s="134" t="s">
        <v>39</v>
      </c>
      <c r="O199" s="135">
        <v>0.47</v>
      </c>
      <c r="P199" s="135">
        <f t="shared" si="31"/>
        <v>2137.48198</v>
      </c>
      <c r="Q199" s="135">
        <v>1.8380000000000001E-2</v>
      </c>
      <c r="R199" s="135">
        <f t="shared" si="32"/>
        <v>83.589188919999998</v>
      </c>
      <c r="S199" s="135">
        <v>0</v>
      </c>
      <c r="T199" s="136">
        <f t="shared" si="33"/>
        <v>0</v>
      </c>
      <c r="AR199" s="137" t="s">
        <v>149</v>
      </c>
      <c r="AT199" s="137" t="s">
        <v>144</v>
      </c>
      <c r="AU199" s="137" t="s">
        <v>143</v>
      </c>
      <c r="AY199" s="15" t="s">
        <v>141</v>
      </c>
      <c r="BE199" s="138">
        <f t="shared" si="34"/>
        <v>0</v>
      </c>
      <c r="BF199" s="138">
        <f t="shared" si="35"/>
        <v>1464402.55</v>
      </c>
      <c r="BG199" s="138">
        <f t="shared" si="36"/>
        <v>0</v>
      </c>
      <c r="BH199" s="138">
        <f t="shared" si="37"/>
        <v>0</v>
      </c>
      <c r="BI199" s="138">
        <f t="shared" si="38"/>
        <v>0</v>
      </c>
      <c r="BJ199" s="15" t="s">
        <v>143</v>
      </c>
      <c r="BK199" s="138">
        <f t="shared" si="39"/>
        <v>1464402.55</v>
      </c>
      <c r="BL199" s="15" t="s">
        <v>149</v>
      </c>
      <c r="BM199" s="137" t="s">
        <v>342</v>
      </c>
    </row>
    <row r="200" spans="2:65" s="1" customFormat="1" ht="24.2" customHeight="1">
      <c r="B200" s="126"/>
      <c r="C200" s="127" t="s">
        <v>343</v>
      </c>
      <c r="D200" s="127" t="s">
        <v>144</v>
      </c>
      <c r="E200" s="128" t="s">
        <v>344</v>
      </c>
      <c r="F200" s="129" t="s">
        <v>345</v>
      </c>
      <c r="G200" s="130" t="s">
        <v>157</v>
      </c>
      <c r="H200" s="131">
        <v>318.34800000000001</v>
      </c>
      <c r="I200" s="132">
        <v>426</v>
      </c>
      <c r="J200" s="132">
        <f t="shared" si="30"/>
        <v>135616.25</v>
      </c>
      <c r="K200" s="129" t="s">
        <v>148</v>
      </c>
      <c r="L200" s="27"/>
      <c r="M200" s="133" t="s">
        <v>1</v>
      </c>
      <c r="N200" s="134" t="s">
        <v>39</v>
      </c>
      <c r="O200" s="135">
        <v>0.67</v>
      </c>
      <c r="P200" s="135">
        <f t="shared" si="31"/>
        <v>213.29316000000003</v>
      </c>
      <c r="Q200" s="135">
        <v>1.8380000000000001E-2</v>
      </c>
      <c r="R200" s="135">
        <f t="shared" si="32"/>
        <v>5.8512362400000004</v>
      </c>
      <c r="S200" s="135">
        <v>0</v>
      </c>
      <c r="T200" s="136">
        <f t="shared" si="33"/>
        <v>0</v>
      </c>
      <c r="AR200" s="137" t="s">
        <v>149</v>
      </c>
      <c r="AT200" s="137" t="s">
        <v>144</v>
      </c>
      <c r="AU200" s="137" t="s">
        <v>143</v>
      </c>
      <c r="AY200" s="15" t="s">
        <v>141</v>
      </c>
      <c r="BE200" s="138">
        <f t="shared" si="34"/>
        <v>0</v>
      </c>
      <c r="BF200" s="138">
        <f t="shared" si="35"/>
        <v>135616.25</v>
      </c>
      <c r="BG200" s="138">
        <f t="shared" si="36"/>
        <v>0</v>
      </c>
      <c r="BH200" s="138">
        <f t="shared" si="37"/>
        <v>0</v>
      </c>
      <c r="BI200" s="138">
        <f t="shared" si="38"/>
        <v>0</v>
      </c>
      <c r="BJ200" s="15" t="s">
        <v>143</v>
      </c>
      <c r="BK200" s="138">
        <f t="shared" si="39"/>
        <v>135616.25</v>
      </c>
      <c r="BL200" s="15" t="s">
        <v>149</v>
      </c>
      <c r="BM200" s="137" t="s">
        <v>346</v>
      </c>
    </row>
    <row r="201" spans="2:65" s="1" customFormat="1" ht="24.2" customHeight="1">
      <c r="B201" s="126"/>
      <c r="C201" s="127" t="s">
        <v>347</v>
      </c>
      <c r="D201" s="127" t="s">
        <v>144</v>
      </c>
      <c r="E201" s="128" t="s">
        <v>348</v>
      </c>
      <c r="F201" s="129" t="s">
        <v>349</v>
      </c>
      <c r="G201" s="130" t="s">
        <v>157</v>
      </c>
      <c r="H201" s="131">
        <v>4547.8339999999998</v>
      </c>
      <c r="I201" s="132">
        <v>74.2</v>
      </c>
      <c r="J201" s="132">
        <f t="shared" si="30"/>
        <v>337449.28</v>
      </c>
      <c r="K201" s="129" t="s">
        <v>148</v>
      </c>
      <c r="L201" s="27"/>
      <c r="M201" s="133" t="s">
        <v>1</v>
      </c>
      <c r="N201" s="134" t="s">
        <v>39</v>
      </c>
      <c r="O201" s="135">
        <v>0.09</v>
      </c>
      <c r="P201" s="135">
        <f t="shared" si="31"/>
        <v>409.30505999999997</v>
      </c>
      <c r="Q201" s="135">
        <v>7.9000000000000008E-3</v>
      </c>
      <c r="R201" s="135">
        <f t="shared" si="32"/>
        <v>35.927888600000003</v>
      </c>
      <c r="S201" s="135">
        <v>0</v>
      </c>
      <c r="T201" s="136">
        <f t="shared" si="33"/>
        <v>0</v>
      </c>
      <c r="AR201" s="137" t="s">
        <v>149</v>
      </c>
      <c r="AT201" s="137" t="s">
        <v>144</v>
      </c>
      <c r="AU201" s="137" t="s">
        <v>143</v>
      </c>
      <c r="AY201" s="15" t="s">
        <v>141</v>
      </c>
      <c r="BE201" s="138">
        <f t="shared" si="34"/>
        <v>0</v>
      </c>
      <c r="BF201" s="138">
        <f t="shared" si="35"/>
        <v>337449.28</v>
      </c>
      <c r="BG201" s="138">
        <f t="shared" si="36"/>
        <v>0</v>
      </c>
      <c r="BH201" s="138">
        <f t="shared" si="37"/>
        <v>0</v>
      </c>
      <c r="BI201" s="138">
        <f t="shared" si="38"/>
        <v>0</v>
      </c>
      <c r="BJ201" s="15" t="s">
        <v>143</v>
      </c>
      <c r="BK201" s="138">
        <f t="shared" si="39"/>
        <v>337449.28</v>
      </c>
      <c r="BL201" s="15" t="s">
        <v>149</v>
      </c>
      <c r="BM201" s="137" t="s">
        <v>350</v>
      </c>
    </row>
    <row r="202" spans="2:65" s="1" customFormat="1" ht="24.2" customHeight="1">
      <c r="B202" s="126"/>
      <c r="C202" s="127" t="s">
        <v>351</v>
      </c>
      <c r="D202" s="127" t="s">
        <v>144</v>
      </c>
      <c r="E202" s="128" t="s">
        <v>352</v>
      </c>
      <c r="F202" s="129" t="s">
        <v>353</v>
      </c>
      <c r="G202" s="130" t="s">
        <v>157</v>
      </c>
      <c r="H202" s="131">
        <v>318.34800000000001</v>
      </c>
      <c r="I202" s="132">
        <v>87</v>
      </c>
      <c r="J202" s="132">
        <f t="shared" si="30"/>
        <v>27696.28</v>
      </c>
      <c r="K202" s="129" t="s">
        <v>148</v>
      </c>
      <c r="L202" s="27"/>
      <c r="M202" s="133" t="s">
        <v>1</v>
      </c>
      <c r="N202" s="134" t="s">
        <v>39</v>
      </c>
      <c r="O202" s="135">
        <v>0.12</v>
      </c>
      <c r="P202" s="135">
        <f t="shared" si="31"/>
        <v>38.20176</v>
      </c>
      <c r="Q202" s="135">
        <v>7.9000000000000008E-3</v>
      </c>
      <c r="R202" s="135">
        <f t="shared" si="32"/>
        <v>2.5149492000000002</v>
      </c>
      <c r="S202" s="135">
        <v>0</v>
      </c>
      <c r="T202" s="136">
        <f t="shared" si="33"/>
        <v>0</v>
      </c>
      <c r="AR202" s="137" t="s">
        <v>149</v>
      </c>
      <c r="AT202" s="137" t="s">
        <v>144</v>
      </c>
      <c r="AU202" s="137" t="s">
        <v>143</v>
      </c>
      <c r="AY202" s="15" t="s">
        <v>141</v>
      </c>
      <c r="BE202" s="138">
        <f t="shared" si="34"/>
        <v>0</v>
      </c>
      <c r="BF202" s="138">
        <f t="shared" si="35"/>
        <v>27696.28</v>
      </c>
      <c r="BG202" s="138">
        <f t="shared" si="36"/>
        <v>0</v>
      </c>
      <c r="BH202" s="138">
        <f t="shared" si="37"/>
        <v>0</v>
      </c>
      <c r="BI202" s="138">
        <f t="shared" si="38"/>
        <v>0</v>
      </c>
      <c r="BJ202" s="15" t="s">
        <v>143</v>
      </c>
      <c r="BK202" s="138">
        <f t="shared" si="39"/>
        <v>27696.28</v>
      </c>
      <c r="BL202" s="15" t="s">
        <v>149</v>
      </c>
      <c r="BM202" s="137" t="s">
        <v>354</v>
      </c>
    </row>
    <row r="203" spans="2:65" s="1" customFormat="1" ht="44.25" customHeight="1">
      <c r="B203" s="126"/>
      <c r="C203" s="127" t="s">
        <v>355</v>
      </c>
      <c r="D203" s="127" t="s">
        <v>144</v>
      </c>
      <c r="E203" s="128" t="s">
        <v>356</v>
      </c>
      <c r="F203" s="129" t="s">
        <v>357</v>
      </c>
      <c r="G203" s="130" t="s">
        <v>157</v>
      </c>
      <c r="H203" s="131">
        <v>56.308</v>
      </c>
      <c r="I203" s="132">
        <v>1190</v>
      </c>
      <c r="J203" s="132">
        <f t="shared" si="30"/>
        <v>67006.52</v>
      </c>
      <c r="K203" s="129" t="s">
        <v>148</v>
      </c>
      <c r="L203" s="27"/>
      <c r="M203" s="133" t="s">
        <v>1</v>
      </c>
      <c r="N203" s="134" t="s">
        <v>39</v>
      </c>
      <c r="O203" s="135">
        <v>1.45</v>
      </c>
      <c r="P203" s="135">
        <f t="shared" si="31"/>
        <v>81.646599999999992</v>
      </c>
      <c r="Q203" s="135">
        <v>9.6500000000000006E-3</v>
      </c>
      <c r="R203" s="135">
        <f t="shared" si="32"/>
        <v>0.54337220000000008</v>
      </c>
      <c r="S203" s="135">
        <v>0</v>
      </c>
      <c r="T203" s="136">
        <f t="shared" si="33"/>
        <v>0</v>
      </c>
      <c r="AR203" s="137" t="s">
        <v>149</v>
      </c>
      <c r="AT203" s="137" t="s">
        <v>144</v>
      </c>
      <c r="AU203" s="137" t="s">
        <v>143</v>
      </c>
      <c r="AY203" s="15" t="s">
        <v>141</v>
      </c>
      <c r="BE203" s="138">
        <f t="shared" si="34"/>
        <v>0</v>
      </c>
      <c r="BF203" s="138">
        <f t="shared" si="35"/>
        <v>67006.52</v>
      </c>
      <c r="BG203" s="138">
        <f t="shared" si="36"/>
        <v>0</v>
      </c>
      <c r="BH203" s="138">
        <f t="shared" si="37"/>
        <v>0</v>
      </c>
      <c r="BI203" s="138">
        <f t="shared" si="38"/>
        <v>0</v>
      </c>
      <c r="BJ203" s="15" t="s">
        <v>143</v>
      </c>
      <c r="BK203" s="138">
        <f t="shared" si="39"/>
        <v>67006.52</v>
      </c>
      <c r="BL203" s="15" t="s">
        <v>149</v>
      </c>
      <c r="BM203" s="137" t="s">
        <v>358</v>
      </c>
    </row>
    <row r="204" spans="2:65" s="1" customFormat="1" ht="24.2" customHeight="1">
      <c r="B204" s="126"/>
      <c r="C204" s="139" t="s">
        <v>359</v>
      </c>
      <c r="D204" s="139" t="s">
        <v>207</v>
      </c>
      <c r="E204" s="140" t="s">
        <v>360</v>
      </c>
      <c r="F204" s="141" t="s">
        <v>361</v>
      </c>
      <c r="G204" s="142" t="s">
        <v>157</v>
      </c>
      <c r="H204" s="143">
        <v>57.433999999999997</v>
      </c>
      <c r="I204" s="144">
        <v>1310</v>
      </c>
      <c r="J204" s="144">
        <f t="shared" si="30"/>
        <v>75238.539999999994</v>
      </c>
      <c r="K204" s="141" t="s">
        <v>148</v>
      </c>
      <c r="L204" s="145"/>
      <c r="M204" s="146" t="s">
        <v>1</v>
      </c>
      <c r="N204" s="147" t="s">
        <v>39</v>
      </c>
      <c r="O204" s="135">
        <v>0</v>
      </c>
      <c r="P204" s="135">
        <f t="shared" si="31"/>
        <v>0</v>
      </c>
      <c r="Q204" s="135">
        <v>2.6499999999999999E-2</v>
      </c>
      <c r="R204" s="135">
        <f t="shared" si="32"/>
        <v>1.5220009999999999</v>
      </c>
      <c r="S204" s="135">
        <v>0</v>
      </c>
      <c r="T204" s="136">
        <f t="shared" si="33"/>
        <v>0</v>
      </c>
      <c r="AR204" s="137" t="s">
        <v>172</v>
      </c>
      <c r="AT204" s="137" t="s">
        <v>207</v>
      </c>
      <c r="AU204" s="137" t="s">
        <v>143</v>
      </c>
      <c r="AY204" s="15" t="s">
        <v>141</v>
      </c>
      <c r="BE204" s="138">
        <f t="shared" si="34"/>
        <v>0</v>
      </c>
      <c r="BF204" s="138">
        <f t="shared" si="35"/>
        <v>75238.539999999994</v>
      </c>
      <c r="BG204" s="138">
        <f t="shared" si="36"/>
        <v>0</v>
      </c>
      <c r="BH204" s="138">
        <f t="shared" si="37"/>
        <v>0</v>
      </c>
      <c r="BI204" s="138">
        <f t="shared" si="38"/>
        <v>0</v>
      </c>
      <c r="BJ204" s="15" t="s">
        <v>143</v>
      </c>
      <c r="BK204" s="138">
        <f t="shared" si="39"/>
        <v>75238.539999999994</v>
      </c>
      <c r="BL204" s="15" t="s">
        <v>149</v>
      </c>
      <c r="BM204" s="137" t="s">
        <v>362</v>
      </c>
    </row>
    <row r="205" spans="2:65" s="12" customFormat="1">
      <c r="B205" s="148"/>
      <c r="D205" s="149" t="s">
        <v>363</v>
      </c>
      <c r="F205" s="150" t="s">
        <v>364</v>
      </c>
      <c r="H205" s="151">
        <v>57.433999999999997</v>
      </c>
      <c r="L205" s="148"/>
      <c r="M205" s="152"/>
      <c r="T205" s="153"/>
      <c r="AT205" s="154" t="s">
        <v>363</v>
      </c>
      <c r="AU205" s="154" t="s">
        <v>143</v>
      </c>
      <c r="AV205" s="12" t="s">
        <v>143</v>
      </c>
      <c r="AW205" s="12" t="s">
        <v>3</v>
      </c>
      <c r="AX205" s="12" t="s">
        <v>81</v>
      </c>
      <c r="AY205" s="154" t="s">
        <v>141</v>
      </c>
    </row>
    <row r="206" spans="2:65" s="1" customFormat="1" ht="24.2" customHeight="1">
      <c r="B206" s="126"/>
      <c r="C206" s="127" t="s">
        <v>365</v>
      </c>
      <c r="D206" s="127" t="s">
        <v>144</v>
      </c>
      <c r="E206" s="128" t="s">
        <v>366</v>
      </c>
      <c r="F206" s="129" t="s">
        <v>367</v>
      </c>
      <c r="G206" s="130" t="s">
        <v>157</v>
      </c>
      <c r="H206" s="131">
        <v>56.308</v>
      </c>
      <c r="I206" s="132">
        <v>454</v>
      </c>
      <c r="J206" s="132">
        <f>ROUND(I206*H206,2)</f>
        <v>25563.83</v>
      </c>
      <c r="K206" s="129" t="s">
        <v>368</v>
      </c>
      <c r="L206" s="27"/>
      <c r="M206" s="133" t="s">
        <v>1</v>
      </c>
      <c r="N206" s="134" t="s">
        <v>39</v>
      </c>
      <c r="O206" s="135">
        <v>0.28499999999999998</v>
      </c>
      <c r="P206" s="135">
        <f>O206*H206</f>
        <v>16.047779999999999</v>
      </c>
      <c r="Q206" s="135">
        <v>4.7800000000000004E-3</v>
      </c>
      <c r="R206" s="135">
        <f>Q206*H206</f>
        <v>0.26915224000000004</v>
      </c>
      <c r="S206" s="135">
        <v>0</v>
      </c>
      <c r="T206" s="136">
        <f>S206*H206</f>
        <v>0</v>
      </c>
      <c r="AR206" s="137" t="s">
        <v>149</v>
      </c>
      <c r="AT206" s="137" t="s">
        <v>144</v>
      </c>
      <c r="AU206" s="137" t="s">
        <v>143</v>
      </c>
      <c r="AY206" s="15" t="s">
        <v>141</v>
      </c>
      <c r="BE206" s="138">
        <f>IF(N206="základní",J206,0)</f>
        <v>0</v>
      </c>
      <c r="BF206" s="138">
        <f>IF(N206="snížená",J206,0)</f>
        <v>25563.83</v>
      </c>
      <c r="BG206" s="138">
        <f>IF(N206="zákl. přenesená",J206,0)</f>
        <v>0</v>
      </c>
      <c r="BH206" s="138">
        <f>IF(N206="sníž. přenesená",J206,0)</f>
        <v>0</v>
      </c>
      <c r="BI206" s="138">
        <f>IF(N206="nulová",J206,0)</f>
        <v>0</v>
      </c>
      <c r="BJ206" s="15" t="s">
        <v>143</v>
      </c>
      <c r="BK206" s="138">
        <f>ROUND(I206*H206,2)</f>
        <v>25563.83</v>
      </c>
      <c r="BL206" s="15" t="s">
        <v>149</v>
      </c>
      <c r="BM206" s="137" t="s">
        <v>369</v>
      </c>
    </row>
    <row r="207" spans="2:65" s="1" customFormat="1" ht="24.2" customHeight="1">
      <c r="B207" s="126"/>
      <c r="C207" s="127" t="s">
        <v>370</v>
      </c>
      <c r="D207" s="127" t="s">
        <v>144</v>
      </c>
      <c r="E207" s="128" t="s">
        <v>371</v>
      </c>
      <c r="F207" s="129" t="s">
        <v>372</v>
      </c>
      <c r="G207" s="130" t="s">
        <v>193</v>
      </c>
      <c r="H207" s="131">
        <v>655.20000000000005</v>
      </c>
      <c r="I207" s="132">
        <v>41</v>
      </c>
      <c r="J207" s="132">
        <f>ROUND(I207*H207,2)</f>
        <v>26863.200000000001</v>
      </c>
      <c r="K207" s="129" t="s">
        <v>148</v>
      </c>
      <c r="L207" s="27"/>
      <c r="M207" s="133" t="s">
        <v>1</v>
      </c>
      <c r="N207" s="134" t="s">
        <v>39</v>
      </c>
      <c r="O207" s="135">
        <v>9.6000000000000002E-2</v>
      </c>
      <c r="P207" s="135">
        <f>O207*H207</f>
        <v>62.899200000000008</v>
      </c>
      <c r="Q207" s="135">
        <v>0</v>
      </c>
      <c r="R207" s="135">
        <f>Q207*H207</f>
        <v>0</v>
      </c>
      <c r="S207" s="135">
        <v>0</v>
      </c>
      <c r="T207" s="136">
        <f>S207*H207</f>
        <v>0</v>
      </c>
      <c r="AR207" s="137" t="s">
        <v>149</v>
      </c>
      <c r="AT207" s="137" t="s">
        <v>144</v>
      </c>
      <c r="AU207" s="137" t="s">
        <v>143</v>
      </c>
      <c r="AY207" s="15" t="s">
        <v>141</v>
      </c>
      <c r="BE207" s="138">
        <f>IF(N207="základní",J207,0)</f>
        <v>0</v>
      </c>
      <c r="BF207" s="138">
        <f>IF(N207="snížená",J207,0)</f>
        <v>26863.200000000001</v>
      </c>
      <c r="BG207" s="138">
        <f>IF(N207="zákl. přenesená",J207,0)</f>
        <v>0</v>
      </c>
      <c r="BH207" s="138">
        <f>IF(N207="sníž. přenesená",J207,0)</f>
        <v>0</v>
      </c>
      <c r="BI207" s="138">
        <f>IF(N207="nulová",J207,0)</f>
        <v>0</v>
      </c>
      <c r="BJ207" s="15" t="s">
        <v>143</v>
      </c>
      <c r="BK207" s="138">
        <f>ROUND(I207*H207,2)</f>
        <v>26863.200000000001</v>
      </c>
      <c r="BL207" s="15" t="s">
        <v>149</v>
      </c>
      <c r="BM207" s="137" t="s">
        <v>373</v>
      </c>
    </row>
    <row r="208" spans="2:65" s="1" customFormat="1" ht="24.2" customHeight="1">
      <c r="B208" s="126"/>
      <c r="C208" s="139" t="s">
        <v>374</v>
      </c>
      <c r="D208" s="139" t="s">
        <v>207</v>
      </c>
      <c r="E208" s="140" t="s">
        <v>375</v>
      </c>
      <c r="F208" s="141" t="s">
        <v>376</v>
      </c>
      <c r="G208" s="142" t="s">
        <v>193</v>
      </c>
      <c r="H208" s="143">
        <v>687.96</v>
      </c>
      <c r="I208" s="144">
        <v>33.299999999999997</v>
      </c>
      <c r="J208" s="144">
        <f>ROUND(I208*H208,2)</f>
        <v>22909.07</v>
      </c>
      <c r="K208" s="141" t="s">
        <v>148</v>
      </c>
      <c r="L208" s="145"/>
      <c r="M208" s="146" t="s">
        <v>1</v>
      </c>
      <c r="N208" s="147" t="s">
        <v>39</v>
      </c>
      <c r="O208" s="135">
        <v>0</v>
      </c>
      <c r="P208" s="135">
        <f>O208*H208</f>
        <v>0</v>
      </c>
      <c r="Q208" s="135">
        <v>4.0000000000000003E-5</v>
      </c>
      <c r="R208" s="135">
        <f>Q208*H208</f>
        <v>2.7518400000000005E-2</v>
      </c>
      <c r="S208" s="135">
        <v>0</v>
      </c>
      <c r="T208" s="136">
        <f>S208*H208</f>
        <v>0</v>
      </c>
      <c r="AR208" s="137" t="s">
        <v>172</v>
      </c>
      <c r="AT208" s="137" t="s">
        <v>207</v>
      </c>
      <c r="AU208" s="137" t="s">
        <v>143</v>
      </c>
      <c r="AY208" s="15" t="s">
        <v>141</v>
      </c>
      <c r="BE208" s="138">
        <f>IF(N208="základní",J208,0)</f>
        <v>0</v>
      </c>
      <c r="BF208" s="138">
        <f>IF(N208="snížená",J208,0)</f>
        <v>22909.07</v>
      </c>
      <c r="BG208" s="138">
        <f>IF(N208="zákl. přenesená",J208,0)</f>
        <v>0</v>
      </c>
      <c r="BH208" s="138">
        <f>IF(N208="sníž. přenesená",J208,0)</f>
        <v>0</v>
      </c>
      <c r="BI208" s="138">
        <f>IF(N208="nulová",J208,0)</f>
        <v>0</v>
      </c>
      <c r="BJ208" s="15" t="s">
        <v>143</v>
      </c>
      <c r="BK208" s="138">
        <f>ROUND(I208*H208,2)</f>
        <v>22909.07</v>
      </c>
      <c r="BL208" s="15" t="s">
        <v>149</v>
      </c>
      <c r="BM208" s="137" t="s">
        <v>377</v>
      </c>
    </row>
    <row r="209" spans="2:65" s="12" customFormat="1">
      <c r="B209" s="148"/>
      <c r="D209" s="149" t="s">
        <v>363</v>
      </c>
      <c r="F209" s="150" t="s">
        <v>378</v>
      </c>
      <c r="H209" s="151">
        <v>687.96</v>
      </c>
      <c r="L209" s="148"/>
      <c r="M209" s="152"/>
      <c r="T209" s="153"/>
      <c r="AT209" s="154" t="s">
        <v>363</v>
      </c>
      <c r="AU209" s="154" t="s">
        <v>143</v>
      </c>
      <c r="AV209" s="12" t="s">
        <v>143</v>
      </c>
      <c r="AW209" s="12" t="s">
        <v>3</v>
      </c>
      <c r="AX209" s="12" t="s">
        <v>81</v>
      </c>
      <c r="AY209" s="154" t="s">
        <v>141</v>
      </c>
    </row>
    <row r="210" spans="2:65" s="1" customFormat="1" ht="37.9" customHeight="1">
      <c r="B210" s="126"/>
      <c r="C210" s="127" t="s">
        <v>379</v>
      </c>
      <c r="D210" s="127" t="s">
        <v>144</v>
      </c>
      <c r="E210" s="128" t="s">
        <v>380</v>
      </c>
      <c r="F210" s="129" t="s">
        <v>381</v>
      </c>
      <c r="G210" s="130" t="s">
        <v>157</v>
      </c>
      <c r="H210" s="131">
        <v>950.49400000000003</v>
      </c>
      <c r="I210" s="132">
        <v>895</v>
      </c>
      <c r="J210" s="132">
        <f>ROUND(I210*H210,2)</f>
        <v>850692.13</v>
      </c>
      <c r="K210" s="129" t="s">
        <v>148</v>
      </c>
      <c r="L210" s="27"/>
      <c r="M210" s="133" t="s">
        <v>1</v>
      </c>
      <c r="N210" s="134" t="s">
        <v>39</v>
      </c>
      <c r="O210" s="135">
        <v>1.08</v>
      </c>
      <c r="P210" s="135">
        <f>O210*H210</f>
        <v>1026.5335200000002</v>
      </c>
      <c r="Q210" s="135">
        <v>8.6800000000000002E-3</v>
      </c>
      <c r="R210" s="135">
        <f>Q210*H210</f>
        <v>8.2502879199999999</v>
      </c>
      <c r="S210" s="135">
        <v>0</v>
      </c>
      <c r="T210" s="136">
        <f>S210*H210</f>
        <v>0</v>
      </c>
      <c r="AR210" s="137" t="s">
        <v>149</v>
      </c>
      <c r="AT210" s="137" t="s">
        <v>144</v>
      </c>
      <c r="AU210" s="137" t="s">
        <v>143</v>
      </c>
      <c r="AY210" s="15" t="s">
        <v>141</v>
      </c>
      <c r="BE210" s="138">
        <f>IF(N210="základní",J210,0)</f>
        <v>0</v>
      </c>
      <c r="BF210" s="138">
        <f>IF(N210="snížená",J210,0)</f>
        <v>850692.13</v>
      </c>
      <c r="BG210" s="138">
        <f>IF(N210="zákl. přenesená",J210,0)</f>
        <v>0</v>
      </c>
      <c r="BH210" s="138">
        <f>IF(N210="sníž. přenesená",J210,0)</f>
        <v>0</v>
      </c>
      <c r="BI210" s="138">
        <f>IF(N210="nulová",J210,0)</f>
        <v>0</v>
      </c>
      <c r="BJ210" s="15" t="s">
        <v>143</v>
      </c>
      <c r="BK210" s="138">
        <f>ROUND(I210*H210,2)</f>
        <v>850692.13</v>
      </c>
      <c r="BL210" s="15" t="s">
        <v>149</v>
      </c>
      <c r="BM210" s="137" t="s">
        <v>382</v>
      </c>
    </row>
    <row r="211" spans="2:65" s="1" customFormat="1" ht="16.5" customHeight="1">
      <c r="B211" s="126"/>
      <c r="C211" s="139" t="s">
        <v>383</v>
      </c>
      <c r="D211" s="139" t="s">
        <v>207</v>
      </c>
      <c r="E211" s="140" t="s">
        <v>384</v>
      </c>
      <c r="F211" s="141" t="s">
        <v>385</v>
      </c>
      <c r="G211" s="142" t="s">
        <v>157</v>
      </c>
      <c r="H211" s="143">
        <v>969.50400000000002</v>
      </c>
      <c r="I211" s="144">
        <v>543</v>
      </c>
      <c r="J211" s="144">
        <f>ROUND(I211*H211,2)</f>
        <v>526440.67000000004</v>
      </c>
      <c r="K211" s="141" t="s">
        <v>148</v>
      </c>
      <c r="L211" s="145"/>
      <c r="M211" s="146" t="s">
        <v>1</v>
      </c>
      <c r="N211" s="147" t="s">
        <v>39</v>
      </c>
      <c r="O211" s="135">
        <v>0</v>
      </c>
      <c r="P211" s="135">
        <f>O211*H211</f>
        <v>0</v>
      </c>
      <c r="Q211" s="135">
        <v>3.0000000000000001E-3</v>
      </c>
      <c r="R211" s="135">
        <f>Q211*H211</f>
        <v>2.908512</v>
      </c>
      <c r="S211" s="135">
        <v>0</v>
      </c>
      <c r="T211" s="136">
        <f>S211*H211</f>
        <v>0</v>
      </c>
      <c r="AR211" s="137" t="s">
        <v>172</v>
      </c>
      <c r="AT211" s="137" t="s">
        <v>207</v>
      </c>
      <c r="AU211" s="137" t="s">
        <v>143</v>
      </c>
      <c r="AY211" s="15" t="s">
        <v>141</v>
      </c>
      <c r="BE211" s="138">
        <f>IF(N211="základní",J211,0)</f>
        <v>0</v>
      </c>
      <c r="BF211" s="138">
        <f>IF(N211="snížená",J211,0)</f>
        <v>526440.67000000004</v>
      </c>
      <c r="BG211" s="138">
        <f>IF(N211="zákl. přenesená",J211,0)</f>
        <v>0</v>
      </c>
      <c r="BH211" s="138">
        <f>IF(N211="sníž. přenesená",J211,0)</f>
        <v>0</v>
      </c>
      <c r="BI211" s="138">
        <f>IF(N211="nulová",J211,0)</f>
        <v>0</v>
      </c>
      <c r="BJ211" s="15" t="s">
        <v>143</v>
      </c>
      <c r="BK211" s="138">
        <f>ROUND(I211*H211,2)</f>
        <v>526440.67000000004</v>
      </c>
      <c r="BL211" s="15" t="s">
        <v>149</v>
      </c>
      <c r="BM211" s="137" t="s">
        <v>386</v>
      </c>
    </row>
    <row r="212" spans="2:65" s="12" customFormat="1">
      <c r="B212" s="148"/>
      <c r="D212" s="149" t="s">
        <v>363</v>
      </c>
      <c r="F212" s="150" t="s">
        <v>387</v>
      </c>
      <c r="H212" s="151">
        <v>969.50400000000002</v>
      </c>
      <c r="L212" s="148"/>
      <c r="M212" s="152"/>
      <c r="T212" s="153"/>
      <c r="AT212" s="154" t="s">
        <v>363</v>
      </c>
      <c r="AU212" s="154" t="s">
        <v>143</v>
      </c>
      <c r="AV212" s="12" t="s">
        <v>143</v>
      </c>
      <c r="AW212" s="12" t="s">
        <v>3</v>
      </c>
      <c r="AX212" s="12" t="s">
        <v>81</v>
      </c>
      <c r="AY212" s="154" t="s">
        <v>141</v>
      </c>
    </row>
    <row r="213" spans="2:65" s="1" customFormat="1" ht="24.2" customHeight="1">
      <c r="B213" s="126"/>
      <c r="C213" s="127" t="s">
        <v>388</v>
      </c>
      <c r="D213" s="127" t="s">
        <v>144</v>
      </c>
      <c r="E213" s="128" t="s">
        <v>389</v>
      </c>
      <c r="F213" s="129" t="s">
        <v>390</v>
      </c>
      <c r="G213" s="130" t="s">
        <v>193</v>
      </c>
      <c r="H213" s="131">
        <v>111.8</v>
      </c>
      <c r="I213" s="132">
        <v>137</v>
      </c>
      <c r="J213" s="132">
        <f>ROUND(I213*H213,2)</f>
        <v>15316.6</v>
      </c>
      <c r="K213" s="129" t="s">
        <v>148</v>
      </c>
      <c r="L213" s="27"/>
      <c r="M213" s="133" t="s">
        <v>1</v>
      </c>
      <c r="N213" s="134" t="s">
        <v>39</v>
      </c>
      <c r="O213" s="135">
        <v>0.23</v>
      </c>
      <c r="P213" s="135">
        <f>O213*H213</f>
        <v>25.714000000000002</v>
      </c>
      <c r="Q213" s="135">
        <v>3.0000000000000001E-5</v>
      </c>
      <c r="R213" s="135">
        <f>Q213*H213</f>
        <v>3.3540000000000002E-3</v>
      </c>
      <c r="S213" s="135">
        <v>0</v>
      </c>
      <c r="T213" s="136">
        <f>S213*H213</f>
        <v>0</v>
      </c>
      <c r="AR213" s="137" t="s">
        <v>149</v>
      </c>
      <c r="AT213" s="137" t="s">
        <v>144</v>
      </c>
      <c r="AU213" s="137" t="s">
        <v>143</v>
      </c>
      <c r="AY213" s="15" t="s">
        <v>141</v>
      </c>
      <c r="BE213" s="138">
        <f>IF(N213="základní",J213,0)</f>
        <v>0</v>
      </c>
      <c r="BF213" s="138">
        <f>IF(N213="snížená",J213,0)</f>
        <v>15316.6</v>
      </c>
      <c r="BG213" s="138">
        <f>IF(N213="zákl. přenesená",J213,0)</f>
        <v>0</v>
      </c>
      <c r="BH213" s="138">
        <f>IF(N213="sníž. přenesená",J213,0)</f>
        <v>0</v>
      </c>
      <c r="BI213" s="138">
        <f>IF(N213="nulová",J213,0)</f>
        <v>0</v>
      </c>
      <c r="BJ213" s="15" t="s">
        <v>143</v>
      </c>
      <c r="BK213" s="138">
        <f>ROUND(I213*H213,2)</f>
        <v>15316.6</v>
      </c>
      <c r="BL213" s="15" t="s">
        <v>149</v>
      </c>
      <c r="BM213" s="137" t="s">
        <v>391</v>
      </c>
    </row>
    <row r="214" spans="2:65" s="1" customFormat="1" ht="24.2" customHeight="1">
      <c r="B214" s="126"/>
      <c r="C214" s="139" t="s">
        <v>392</v>
      </c>
      <c r="D214" s="139" t="s">
        <v>207</v>
      </c>
      <c r="E214" s="140" t="s">
        <v>393</v>
      </c>
      <c r="F214" s="141" t="s">
        <v>394</v>
      </c>
      <c r="G214" s="142" t="s">
        <v>193</v>
      </c>
      <c r="H214" s="143">
        <v>117.39</v>
      </c>
      <c r="I214" s="144">
        <v>122</v>
      </c>
      <c r="J214" s="144">
        <f>ROUND(I214*H214,2)</f>
        <v>14321.58</v>
      </c>
      <c r="K214" s="141" t="s">
        <v>148</v>
      </c>
      <c r="L214" s="145"/>
      <c r="M214" s="146" t="s">
        <v>1</v>
      </c>
      <c r="N214" s="147" t="s">
        <v>39</v>
      </c>
      <c r="O214" s="135">
        <v>0</v>
      </c>
      <c r="P214" s="135">
        <f>O214*H214</f>
        <v>0</v>
      </c>
      <c r="Q214" s="135">
        <v>7.2000000000000005E-4</v>
      </c>
      <c r="R214" s="135">
        <f>Q214*H214</f>
        <v>8.4520800000000007E-2</v>
      </c>
      <c r="S214" s="135">
        <v>0</v>
      </c>
      <c r="T214" s="136">
        <f>S214*H214</f>
        <v>0</v>
      </c>
      <c r="AR214" s="137" t="s">
        <v>172</v>
      </c>
      <c r="AT214" s="137" t="s">
        <v>207</v>
      </c>
      <c r="AU214" s="137" t="s">
        <v>143</v>
      </c>
      <c r="AY214" s="15" t="s">
        <v>141</v>
      </c>
      <c r="BE214" s="138">
        <f>IF(N214="základní",J214,0)</f>
        <v>0</v>
      </c>
      <c r="BF214" s="138">
        <f>IF(N214="snížená",J214,0)</f>
        <v>14321.58</v>
      </c>
      <c r="BG214" s="138">
        <f>IF(N214="zákl. přenesená",J214,0)</f>
        <v>0</v>
      </c>
      <c r="BH214" s="138">
        <f>IF(N214="sníž. přenesená",J214,0)</f>
        <v>0</v>
      </c>
      <c r="BI214" s="138">
        <f>IF(N214="nulová",J214,0)</f>
        <v>0</v>
      </c>
      <c r="BJ214" s="15" t="s">
        <v>143</v>
      </c>
      <c r="BK214" s="138">
        <f>ROUND(I214*H214,2)</f>
        <v>14321.58</v>
      </c>
      <c r="BL214" s="15" t="s">
        <v>149</v>
      </c>
      <c r="BM214" s="137" t="s">
        <v>395</v>
      </c>
    </row>
    <row r="215" spans="2:65" s="12" customFormat="1">
      <c r="B215" s="148"/>
      <c r="D215" s="149" t="s">
        <v>363</v>
      </c>
      <c r="F215" s="150" t="s">
        <v>396</v>
      </c>
      <c r="H215" s="151">
        <v>117.39</v>
      </c>
      <c r="L215" s="148"/>
      <c r="M215" s="152"/>
      <c r="T215" s="153"/>
      <c r="AT215" s="154" t="s">
        <v>363</v>
      </c>
      <c r="AU215" s="154" t="s">
        <v>143</v>
      </c>
      <c r="AV215" s="12" t="s">
        <v>143</v>
      </c>
      <c r="AW215" s="12" t="s">
        <v>3</v>
      </c>
      <c r="AX215" s="12" t="s">
        <v>81</v>
      </c>
      <c r="AY215" s="154" t="s">
        <v>141</v>
      </c>
    </row>
    <row r="216" spans="2:65" s="1" customFormat="1" ht="24.2" customHeight="1">
      <c r="B216" s="126"/>
      <c r="C216" s="127" t="s">
        <v>397</v>
      </c>
      <c r="D216" s="127" t="s">
        <v>144</v>
      </c>
      <c r="E216" s="128" t="s">
        <v>398</v>
      </c>
      <c r="F216" s="129" t="s">
        <v>399</v>
      </c>
      <c r="G216" s="130" t="s">
        <v>157</v>
      </c>
      <c r="H216" s="131">
        <v>950.49400000000003</v>
      </c>
      <c r="I216" s="132">
        <v>435</v>
      </c>
      <c r="J216" s="132">
        <f t="shared" ref="J216:J222" si="40">ROUND(I216*H216,2)</f>
        <v>413464.89</v>
      </c>
      <c r="K216" s="129" t="s">
        <v>368</v>
      </c>
      <c r="L216" s="27"/>
      <c r="M216" s="133" t="s">
        <v>1</v>
      </c>
      <c r="N216" s="134" t="s">
        <v>39</v>
      </c>
      <c r="O216" s="135">
        <v>0.245</v>
      </c>
      <c r="P216" s="135">
        <f t="shared" ref="P216:P222" si="41">O216*H216</f>
        <v>232.87102999999999</v>
      </c>
      <c r="Q216" s="135">
        <v>4.7800000000000004E-3</v>
      </c>
      <c r="R216" s="135">
        <f t="shared" ref="R216:R222" si="42">Q216*H216</f>
        <v>4.5433613200000007</v>
      </c>
      <c r="S216" s="135">
        <v>0</v>
      </c>
      <c r="T216" s="136">
        <f t="shared" ref="T216:T222" si="43">S216*H216</f>
        <v>0</v>
      </c>
      <c r="AR216" s="137" t="s">
        <v>149</v>
      </c>
      <c r="AT216" s="137" t="s">
        <v>144</v>
      </c>
      <c r="AU216" s="137" t="s">
        <v>143</v>
      </c>
      <c r="AY216" s="15" t="s">
        <v>141</v>
      </c>
      <c r="BE216" s="138">
        <f t="shared" ref="BE216:BE222" si="44">IF(N216="základní",J216,0)</f>
        <v>0</v>
      </c>
      <c r="BF216" s="138">
        <f t="shared" ref="BF216:BF222" si="45">IF(N216="snížená",J216,0)</f>
        <v>413464.89</v>
      </c>
      <c r="BG216" s="138">
        <f t="shared" ref="BG216:BG222" si="46">IF(N216="zákl. přenesená",J216,0)</f>
        <v>0</v>
      </c>
      <c r="BH216" s="138">
        <f t="shared" ref="BH216:BH222" si="47">IF(N216="sníž. přenesená",J216,0)</f>
        <v>0</v>
      </c>
      <c r="BI216" s="138">
        <f t="shared" ref="BI216:BI222" si="48">IF(N216="nulová",J216,0)</f>
        <v>0</v>
      </c>
      <c r="BJ216" s="15" t="s">
        <v>143</v>
      </c>
      <c r="BK216" s="138">
        <f t="shared" ref="BK216:BK222" si="49">ROUND(I216*H216,2)</f>
        <v>413464.89</v>
      </c>
      <c r="BL216" s="15" t="s">
        <v>149</v>
      </c>
      <c r="BM216" s="137" t="s">
        <v>400</v>
      </c>
    </row>
    <row r="217" spans="2:65" s="1" customFormat="1" ht="24.2" customHeight="1">
      <c r="B217" s="126"/>
      <c r="C217" s="127" t="s">
        <v>401</v>
      </c>
      <c r="D217" s="127" t="s">
        <v>144</v>
      </c>
      <c r="E217" s="128" t="s">
        <v>402</v>
      </c>
      <c r="F217" s="129" t="s">
        <v>403</v>
      </c>
      <c r="G217" s="130" t="s">
        <v>157</v>
      </c>
      <c r="H217" s="131">
        <v>66.534999999999997</v>
      </c>
      <c r="I217" s="132">
        <v>500</v>
      </c>
      <c r="J217" s="132">
        <f t="shared" si="40"/>
        <v>33267.5</v>
      </c>
      <c r="K217" s="129" t="s">
        <v>368</v>
      </c>
      <c r="L217" s="27"/>
      <c r="M217" s="133" t="s">
        <v>1</v>
      </c>
      <c r="N217" s="134" t="s">
        <v>39</v>
      </c>
      <c r="O217" s="135">
        <v>0.38500000000000001</v>
      </c>
      <c r="P217" s="135">
        <f t="shared" si="41"/>
        <v>25.615974999999999</v>
      </c>
      <c r="Q217" s="135">
        <v>4.7800000000000004E-3</v>
      </c>
      <c r="R217" s="135">
        <f t="shared" si="42"/>
        <v>0.31803730000000002</v>
      </c>
      <c r="S217" s="135">
        <v>0</v>
      </c>
      <c r="T217" s="136">
        <f t="shared" si="43"/>
        <v>0</v>
      </c>
      <c r="AR217" s="137" t="s">
        <v>149</v>
      </c>
      <c r="AT217" s="137" t="s">
        <v>144</v>
      </c>
      <c r="AU217" s="137" t="s">
        <v>143</v>
      </c>
      <c r="AY217" s="15" t="s">
        <v>141</v>
      </c>
      <c r="BE217" s="138">
        <f t="shared" si="44"/>
        <v>0</v>
      </c>
      <c r="BF217" s="138">
        <f t="shared" si="45"/>
        <v>33267.5</v>
      </c>
      <c r="BG217" s="138">
        <f t="shared" si="46"/>
        <v>0</v>
      </c>
      <c r="BH217" s="138">
        <f t="shared" si="47"/>
        <v>0</v>
      </c>
      <c r="BI217" s="138">
        <f t="shared" si="48"/>
        <v>0</v>
      </c>
      <c r="BJ217" s="15" t="s">
        <v>143</v>
      </c>
      <c r="BK217" s="138">
        <f t="shared" si="49"/>
        <v>33267.5</v>
      </c>
      <c r="BL217" s="15" t="s">
        <v>149</v>
      </c>
      <c r="BM217" s="137" t="s">
        <v>404</v>
      </c>
    </row>
    <row r="218" spans="2:65" s="1" customFormat="1" ht="24.2" customHeight="1">
      <c r="B218" s="126"/>
      <c r="C218" s="127" t="s">
        <v>405</v>
      </c>
      <c r="D218" s="127" t="s">
        <v>144</v>
      </c>
      <c r="E218" s="128" t="s">
        <v>406</v>
      </c>
      <c r="F218" s="129" t="s">
        <v>407</v>
      </c>
      <c r="G218" s="130" t="s">
        <v>193</v>
      </c>
      <c r="H218" s="131">
        <v>42.042000000000002</v>
      </c>
      <c r="I218" s="132">
        <v>90.1</v>
      </c>
      <c r="J218" s="132">
        <f t="shared" si="40"/>
        <v>3787.98</v>
      </c>
      <c r="K218" s="129" t="s">
        <v>148</v>
      </c>
      <c r="L218" s="27"/>
      <c r="M218" s="133" t="s">
        <v>1</v>
      </c>
      <c r="N218" s="134" t="s">
        <v>39</v>
      </c>
      <c r="O218" s="135">
        <v>0.15</v>
      </c>
      <c r="P218" s="135">
        <f t="shared" si="41"/>
        <v>6.3063000000000002</v>
      </c>
      <c r="Q218" s="135">
        <v>2.0650000000000002E-2</v>
      </c>
      <c r="R218" s="135">
        <f t="shared" si="42"/>
        <v>0.86816730000000009</v>
      </c>
      <c r="S218" s="135">
        <v>0</v>
      </c>
      <c r="T218" s="136">
        <f t="shared" si="43"/>
        <v>0</v>
      </c>
      <c r="AR218" s="137" t="s">
        <v>149</v>
      </c>
      <c r="AT218" s="137" t="s">
        <v>144</v>
      </c>
      <c r="AU218" s="137" t="s">
        <v>143</v>
      </c>
      <c r="AY218" s="15" t="s">
        <v>141</v>
      </c>
      <c r="BE218" s="138">
        <f t="shared" si="44"/>
        <v>0</v>
      </c>
      <c r="BF218" s="138">
        <f t="shared" si="45"/>
        <v>3787.98</v>
      </c>
      <c r="BG218" s="138">
        <f t="shared" si="46"/>
        <v>0</v>
      </c>
      <c r="BH218" s="138">
        <f t="shared" si="47"/>
        <v>0</v>
      </c>
      <c r="BI218" s="138">
        <f t="shared" si="48"/>
        <v>0</v>
      </c>
      <c r="BJ218" s="15" t="s">
        <v>143</v>
      </c>
      <c r="BK218" s="138">
        <f t="shared" si="49"/>
        <v>3787.98</v>
      </c>
      <c r="BL218" s="15" t="s">
        <v>149</v>
      </c>
      <c r="BM218" s="137" t="s">
        <v>408</v>
      </c>
    </row>
    <row r="219" spans="2:65" s="1" customFormat="1" ht="24.2" customHeight="1">
      <c r="B219" s="126"/>
      <c r="C219" s="127" t="s">
        <v>409</v>
      </c>
      <c r="D219" s="127" t="s">
        <v>144</v>
      </c>
      <c r="E219" s="128" t="s">
        <v>410</v>
      </c>
      <c r="F219" s="129" t="s">
        <v>411</v>
      </c>
      <c r="G219" s="130" t="s">
        <v>157</v>
      </c>
      <c r="H219" s="131">
        <v>333.89699999999999</v>
      </c>
      <c r="I219" s="132">
        <v>35.9</v>
      </c>
      <c r="J219" s="132">
        <f t="shared" si="40"/>
        <v>11986.9</v>
      </c>
      <c r="K219" s="129" t="s">
        <v>148</v>
      </c>
      <c r="L219" s="27"/>
      <c r="M219" s="133" t="s">
        <v>1</v>
      </c>
      <c r="N219" s="134" t="s">
        <v>39</v>
      </c>
      <c r="O219" s="135">
        <v>0.06</v>
      </c>
      <c r="P219" s="135">
        <f t="shared" si="41"/>
        <v>20.033819999999999</v>
      </c>
      <c r="Q219" s="135">
        <v>0</v>
      </c>
      <c r="R219" s="135">
        <f t="shared" si="42"/>
        <v>0</v>
      </c>
      <c r="S219" s="135">
        <v>0</v>
      </c>
      <c r="T219" s="136">
        <f t="shared" si="43"/>
        <v>0</v>
      </c>
      <c r="AR219" s="137" t="s">
        <v>149</v>
      </c>
      <c r="AT219" s="137" t="s">
        <v>144</v>
      </c>
      <c r="AU219" s="137" t="s">
        <v>143</v>
      </c>
      <c r="AY219" s="15" t="s">
        <v>141</v>
      </c>
      <c r="BE219" s="138">
        <f t="shared" si="44"/>
        <v>0</v>
      </c>
      <c r="BF219" s="138">
        <f t="shared" si="45"/>
        <v>11986.9</v>
      </c>
      <c r="BG219" s="138">
        <f t="shared" si="46"/>
        <v>0</v>
      </c>
      <c r="BH219" s="138">
        <f t="shared" si="47"/>
        <v>0</v>
      </c>
      <c r="BI219" s="138">
        <f t="shared" si="48"/>
        <v>0</v>
      </c>
      <c r="BJ219" s="15" t="s">
        <v>143</v>
      </c>
      <c r="BK219" s="138">
        <f t="shared" si="49"/>
        <v>11986.9</v>
      </c>
      <c r="BL219" s="15" t="s">
        <v>149</v>
      </c>
      <c r="BM219" s="137" t="s">
        <v>412</v>
      </c>
    </row>
    <row r="220" spans="2:65" s="1" customFormat="1" ht="24.2" customHeight="1">
      <c r="B220" s="126"/>
      <c r="C220" s="127" t="s">
        <v>413</v>
      </c>
      <c r="D220" s="127" t="s">
        <v>144</v>
      </c>
      <c r="E220" s="128" t="s">
        <v>414</v>
      </c>
      <c r="F220" s="129" t="s">
        <v>415</v>
      </c>
      <c r="G220" s="130" t="s">
        <v>162</v>
      </c>
      <c r="H220" s="131">
        <v>99.846999999999994</v>
      </c>
      <c r="I220" s="132">
        <v>4650</v>
      </c>
      <c r="J220" s="132">
        <f t="shared" si="40"/>
        <v>464288.55</v>
      </c>
      <c r="K220" s="129" t="s">
        <v>148</v>
      </c>
      <c r="L220" s="27"/>
      <c r="M220" s="133" t="s">
        <v>1</v>
      </c>
      <c r="N220" s="134" t="s">
        <v>39</v>
      </c>
      <c r="O220" s="135">
        <v>3.2130000000000001</v>
      </c>
      <c r="P220" s="135">
        <f t="shared" si="41"/>
        <v>320.80841099999998</v>
      </c>
      <c r="Q220" s="135">
        <v>2.45329</v>
      </c>
      <c r="R220" s="135">
        <f t="shared" si="42"/>
        <v>244.95364662999998</v>
      </c>
      <c r="S220" s="135">
        <v>0</v>
      </c>
      <c r="T220" s="136">
        <f t="shared" si="43"/>
        <v>0</v>
      </c>
      <c r="AR220" s="137" t="s">
        <v>149</v>
      </c>
      <c r="AT220" s="137" t="s">
        <v>144</v>
      </c>
      <c r="AU220" s="137" t="s">
        <v>143</v>
      </c>
      <c r="AY220" s="15" t="s">
        <v>141</v>
      </c>
      <c r="BE220" s="138">
        <f t="shared" si="44"/>
        <v>0</v>
      </c>
      <c r="BF220" s="138">
        <f t="shared" si="45"/>
        <v>464288.55</v>
      </c>
      <c r="BG220" s="138">
        <f t="shared" si="46"/>
        <v>0</v>
      </c>
      <c r="BH220" s="138">
        <f t="shared" si="47"/>
        <v>0</v>
      </c>
      <c r="BI220" s="138">
        <f t="shared" si="48"/>
        <v>0</v>
      </c>
      <c r="BJ220" s="15" t="s">
        <v>143</v>
      </c>
      <c r="BK220" s="138">
        <f t="shared" si="49"/>
        <v>464288.55</v>
      </c>
      <c r="BL220" s="15" t="s">
        <v>149</v>
      </c>
      <c r="BM220" s="137" t="s">
        <v>416</v>
      </c>
    </row>
    <row r="221" spans="2:65" s="1" customFormat="1" ht="16.5" customHeight="1">
      <c r="B221" s="126"/>
      <c r="C221" s="127" t="s">
        <v>417</v>
      </c>
      <c r="D221" s="127" t="s">
        <v>144</v>
      </c>
      <c r="E221" s="128" t="s">
        <v>418</v>
      </c>
      <c r="F221" s="129" t="s">
        <v>419</v>
      </c>
      <c r="G221" s="130" t="s">
        <v>157</v>
      </c>
      <c r="H221" s="131">
        <v>705.12</v>
      </c>
      <c r="I221" s="132">
        <v>16.899999999999999</v>
      </c>
      <c r="J221" s="132">
        <f t="shared" si="40"/>
        <v>11916.53</v>
      </c>
      <c r="K221" s="129" t="s">
        <v>148</v>
      </c>
      <c r="L221" s="27"/>
      <c r="M221" s="133" t="s">
        <v>1</v>
      </c>
      <c r="N221" s="134" t="s">
        <v>39</v>
      </c>
      <c r="O221" s="135">
        <v>2.5000000000000001E-2</v>
      </c>
      <c r="P221" s="135">
        <f t="shared" si="41"/>
        <v>17.628</v>
      </c>
      <c r="Q221" s="135">
        <v>1.2999999999999999E-4</v>
      </c>
      <c r="R221" s="135">
        <f t="shared" si="42"/>
        <v>9.1665599999999986E-2</v>
      </c>
      <c r="S221" s="135">
        <v>0</v>
      </c>
      <c r="T221" s="136">
        <f t="shared" si="43"/>
        <v>0</v>
      </c>
      <c r="AR221" s="137" t="s">
        <v>149</v>
      </c>
      <c r="AT221" s="137" t="s">
        <v>144</v>
      </c>
      <c r="AU221" s="137" t="s">
        <v>143</v>
      </c>
      <c r="AY221" s="15" t="s">
        <v>141</v>
      </c>
      <c r="BE221" s="138">
        <f t="shared" si="44"/>
        <v>0</v>
      </c>
      <c r="BF221" s="138">
        <f t="shared" si="45"/>
        <v>11916.53</v>
      </c>
      <c r="BG221" s="138">
        <f t="shared" si="46"/>
        <v>0</v>
      </c>
      <c r="BH221" s="138">
        <f t="shared" si="47"/>
        <v>0</v>
      </c>
      <c r="BI221" s="138">
        <f t="shared" si="48"/>
        <v>0</v>
      </c>
      <c r="BJ221" s="15" t="s">
        <v>143</v>
      </c>
      <c r="BK221" s="138">
        <f t="shared" si="49"/>
        <v>11916.53</v>
      </c>
      <c r="BL221" s="15" t="s">
        <v>149</v>
      </c>
      <c r="BM221" s="137" t="s">
        <v>420</v>
      </c>
    </row>
    <row r="222" spans="2:65" s="1" customFormat="1" ht="33" customHeight="1">
      <c r="B222" s="126"/>
      <c r="C222" s="127" t="s">
        <v>421</v>
      </c>
      <c r="D222" s="127" t="s">
        <v>144</v>
      </c>
      <c r="E222" s="128" t="s">
        <v>422</v>
      </c>
      <c r="F222" s="129" t="s">
        <v>423</v>
      </c>
      <c r="G222" s="130" t="s">
        <v>193</v>
      </c>
      <c r="H222" s="131">
        <v>740.37599999999998</v>
      </c>
      <c r="I222" s="132">
        <v>21.9</v>
      </c>
      <c r="J222" s="132">
        <f t="shared" si="40"/>
        <v>16214.23</v>
      </c>
      <c r="K222" s="129" t="s">
        <v>148</v>
      </c>
      <c r="L222" s="27"/>
      <c r="M222" s="133" t="s">
        <v>1</v>
      </c>
      <c r="N222" s="134" t="s">
        <v>39</v>
      </c>
      <c r="O222" s="135">
        <v>0.03</v>
      </c>
      <c r="P222" s="135">
        <f t="shared" si="41"/>
        <v>22.211279999999999</v>
      </c>
      <c r="Q222" s="135">
        <v>2.0000000000000002E-5</v>
      </c>
      <c r="R222" s="135">
        <f t="shared" si="42"/>
        <v>1.4807520000000001E-2</v>
      </c>
      <c r="S222" s="135">
        <v>0</v>
      </c>
      <c r="T222" s="136">
        <f t="shared" si="43"/>
        <v>0</v>
      </c>
      <c r="AR222" s="137" t="s">
        <v>149</v>
      </c>
      <c r="AT222" s="137" t="s">
        <v>144</v>
      </c>
      <c r="AU222" s="137" t="s">
        <v>143</v>
      </c>
      <c r="AY222" s="15" t="s">
        <v>141</v>
      </c>
      <c r="BE222" s="138">
        <f t="shared" si="44"/>
        <v>0</v>
      </c>
      <c r="BF222" s="138">
        <f t="shared" si="45"/>
        <v>16214.23</v>
      </c>
      <c r="BG222" s="138">
        <f t="shared" si="46"/>
        <v>0</v>
      </c>
      <c r="BH222" s="138">
        <f t="shared" si="47"/>
        <v>0</v>
      </c>
      <c r="BI222" s="138">
        <f t="shared" si="48"/>
        <v>0</v>
      </c>
      <c r="BJ222" s="15" t="s">
        <v>143</v>
      </c>
      <c r="BK222" s="138">
        <f t="shared" si="49"/>
        <v>16214.23</v>
      </c>
      <c r="BL222" s="15" t="s">
        <v>149</v>
      </c>
      <c r="BM222" s="137" t="s">
        <v>424</v>
      </c>
    </row>
    <row r="223" spans="2:65" s="11" customFormat="1" ht="22.9" customHeight="1">
      <c r="B223" s="115"/>
      <c r="D223" s="116" t="s">
        <v>72</v>
      </c>
      <c r="E223" s="124" t="s">
        <v>176</v>
      </c>
      <c r="F223" s="124" t="s">
        <v>425</v>
      </c>
      <c r="J223" s="125">
        <f>BK223</f>
        <v>3265549.09</v>
      </c>
      <c r="L223" s="115"/>
      <c r="M223" s="119"/>
      <c r="P223" s="120">
        <f>SUM(P224:P244)</f>
        <v>900.92588899999998</v>
      </c>
      <c r="R223" s="120">
        <f>SUM(R224:R244)</f>
        <v>1.0861690300000002</v>
      </c>
      <c r="T223" s="121">
        <f>SUM(T224:T244)</f>
        <v>0.621</v>
      </c>
      <c r="AR223" s="116" t="s">
        <v>81</v>
      </c>
      <c r="AT223" s="122" t="s">
        <v>72</v>
      </c>
      <c r="AU223" s="122" t="s">
        <v>81</v>
      </c>
      <c r="AY223" s="116" t="s">
        <v>141</v>
      </c>
      <c r="BK223" s="123">
        <f>SUM(BK224:BK244)</f>
        <v>3265549.09</v>
      </c>
    </row>
    <row r="224" spans="2:65" s="1" customFormat="1" ht="16.5" customHeight="1">
      <c r="B224" s="126"/>
      <c r="C224" s="127" t="s">
        <v>426</v>
      </c>
      <c r="D224" s="127" t="s">
        <v>144</v>
      </c>
      <c r="E224" s="128" t="s">
        <v>427</v>
      </c>
      <c r="F224" s="129" t="s">
        <v>428</v>
      </c>
      <c r="G224" s="130" t="s">
        <v>429</v>
      </c>
      <c r="H224" s="131">
        <v>2</v>
      </c>
      <c r="I224" s="132">
        <v>750000</v>
      </c>
      <c r="J224" s="132">
        <f t="shared" ref="J224:J243" si="50">ROUND(I224*H224,2)</f>
        <v>1500000</v>
      </c>
      <c r="K224" s="129" t="s">
        <v>1</v>
      </c>
      <c r="L224" s="27"/>
      <c r="M224" s="133" t="s">
        <v>1</v>
      </c>
      <c r="N224" s="134" t="s">
        <v>39</v>
      </c>
      <c r="O224" s="135">
        <v>0</v>
      </c>
      <c r="P224" s="135">
        <f t="shared" ref="P224:P243" si="51">O224*H224</f>
        <v>0</v>
      </c>
      <c r="Q224" s="135">
        <v>0</v>
      </c>
      <c r="R224" s="135">
        <f t="shared" ref="R224:R243" si="52">Q224*H224</f>
        <v>0</v>
      </c>
      <c r="S224" s="135">
        <v>0</v>
      </c>
      <c r="T224" s="136">
        <f t="shared" ref="T224:T243" si="53">S224*H224</f>
        <v>0</v>
      </c>
      <c r="AR224" s="137" t="s">
        <v>149</v>
      </c>
      <c r="AT224" s="137" t="s">
        <v>144</v>
      </c>
      <c r="AU224" s="137" t="s">
        <v>143</v>
      </c>
      <c r="AY224" s="15" t="s">
        <v>141</v>
      </c>
      <c r="BE224" s="138">
        <f t="shared" ref="BE224:BE243" si="54">IF(N224="základní",J224,0)</f>
        <v>0</v>
      </c>
      <c r="BF224" s="138">
        <f t="shared" ref="BF224:BF243" si="55">IF(N224="snížená",J224,0)</f>
        <v>1500000</v>
      </c>
      <c r="BG224" s="138">
        <f t="shared" ref="BG224:BG243" si="56">IF(N224="zákl. přenesená",J224,0)</f>
        <v>0</v>
      </c>
      <c r="BH224" s="138">
        <f t="shared" ref="BH224:BH243" si="57">IF(N224="sníž. přenesená",J224,0)</f>
        <v>0</v>
      </c>
      <c r="BI224" s="138">
        <f t="shared" ref="BI224:BI243" si="58">IF(N224="nulová",J224,0)</f>
        <v>0</v>
      </c>
      <c r="BJ224" s="15" t="s">
        <v>143</v>
      </c>
      <c r="BK224" s="138">
        <f t="shared" ref="BK224:BK243" si="59">ROUND(I224*H224,2)</f>
        <v>1500000</v>
      </c>
      <c r="BL224" s="15" t="s">
        <v>149</v>
      </c>
      <c r="BM224" s="137" t="s">
        <v>430</v>
      </c>
    </row>
    <row r="225" spans="2:65" s="1" customFormat="1" ht="16.5" customHeight="1">
      <c r="B225" s="126"/>
      <c r="C225" s="127" t="s">
        <v>431</v>
      </c>
      <c r="D225" s="127" t="s">
        <v>144</v>
      </c>
      <c r="E225" s="128" t="s">
        <v>432</v>
      </c>
      <c r="F225" s="129" t="s">
        <v>433</v>
      </c>
      <c r="G225" s="130" t="s">
        <v>429</v>
      </c>
      <c r="H225" s="131">
        <v>1</v>
      </c>
      <c r="I225" s="132">
        <v>158000</v>
      </c>
      <c r="J225" s="132">
        <f t="shared" si="50"/>
        <v>158000</v>
      </c>
      <c r="K225" s="129" t="s">
        <v>1</v>
      </c>
      <c r="L225" s="27"/>
      <c r="M225" s="133" t="s">
        <v>1</v>
      </c>
      <c r="N225" s="134" t="s">
        <v>39</v>
      </c>
      <c r="O225" s="135">
        <v>0</v>
      </c>
      <c r="P225" s="135">
        <f t="shared" si="51"/>
        <v>0</v>
      </c>
      <c r="Q225" s="135">
        <v>0</v>
      </c>
      <c r="R225" s="135">
        <f t="shared" si="52"/>
        <v>0</v>
      </c>
      <c r="S225" s="135">
        <v>0</v>
      </c>
      <c r="T225" s="136">
        <f t="shared" si="53"/>
        <v>0</v>
      </c>
      <c r="AR225" s="137" t="s">
        <v>149</v>
      </c>
      <c r="AT225" s="137" t="s">
        <v>144</v>
      </c>
      <c r="AU225" s="137" t="s">
        <v>143</v>
      </c>
      <c r="AY225" s="15" t="s">
        <v>141</v>
      </c>
      <c r="BE225" s="138">
        <f t="shared" si="54"/>
        <v>0</v>
      </c>
      <c r="BF225" s="138">
        <f t="shared" si="55"/>
        <v>158000</v>
      </c>
      <c r="BG225" s="138">
        <f t="shared" si="56"/>
        <v>0</v>
      </c>
      <c r="BH225" s="138">
        <f t="shared" si="57"/>
        <v>0</v>
      </c>
      <c r="BI225" s="138">
        <f t="shared" si="58"/>
        <v>0</v>
      </c>
      <c r="BJ225" s="15" t="s">
        <v>143</v>
      </c>
      <c r="BK225" s="138">
        <f t="shared" si="59"/>
        <v>158000</v>
      </c>
      <c r="BL225" s="15" t="s">
        <v>149</v>
      </c>
      <c r="BM225" s="137" t="s">
        <v>434</v>
      </c>
    </row>
    <row r="226" spans="2:65" s="1" customFormat="1" ht="16.5" customHeight="1">
      <c r="B226" s="126"/>
      <c r="C226" s="127" t="s">
        <v>435</v>
      </c>
      <c r="D226" s="127" t="s">
        <v>144</v>
      </c>
      <c r="E226" s="128" t="s">
        <v>436</v>
      </c>
      <c r="F226" s="129" t="s">
        <v>437</v>
      </c>
      <c r="G226" s="130" t="s">
        <v>429</v>
      </c>
      <c r="H226" s="131">
        <v>1</v>
      </c>
      <c r="I226" s="132">
        <v>250000</v>
      </c>
      <c r="J226" s="132">
        <f t="shared" si="50"/>
        <v>250000</v>
      </c>
      <c r="K226" s="129" t="s">
        <v>1</v>
      </c>
      <c r="L226" s="27"/>
      <c r="M226" s="133" t="s">
        <v>1</v>
      </c>
      <c r="N226" s="134" t="s">
        <v>39</v>
      </c>
      <c r="O226" s="135">
        <v>0</v>
      </c>
      <c r="P226" s="135">
        <f t="shared" si="51"/>
        <v>0</v>
      </c>
      <c r="Q226" s="135">
        <v>0</v>
      </c>
      <c r="R226" s="135">
        <f t="shared" si="52"/>
        <v>0</v>
      </c>
      <c r="S226" s="135">
        <v>0</v>
      </c>
      <c r="T226" s="136">
        <f t="shared" si="53"/>
        <v>0</v>
      </c>
      <c r="AR226" s="137" t="s">
        <v>149</v>
      </c>
      <c r="AT226" s="137" t="s">
        <v>144</v>
      </c>
      <c r="AU226" s="137" t="s">
        <v>143</v>
      </c>
      <c r="AY226" s="15" t="s">
        <v>141</v>
      </c>
      <c r="BE226" s="138">
        <f t="shared" si="54"/>
        <v>0</v>
      </c>
      <c r="BF226" s="138">
        <f t="shared" si="55"/>
        <v>250000</v>
      </c>
      <c r="BG226" s="138">
        <f t="shared" si="56"/>
        <v>0</v>
      </c>
      <c r="BH226" s="138">
        <f t="shared" si="57"/>
        <v>0</v>
      </c>
      <c r="BI226" s="138">
        <f t="shared" si="58"/>
        <v>0</v>
      </c>
      <c r="BJ226" s="15" t="s">
        <v>143</v>
      </c>
      <c r="BK226" s="138">
        <f t="shared" si="59"/>
        <v>250000</v>
      </c>
      <c r="BL226" s="15" t="s">
        <v>149</v>
      </c>
      <c r="BM226" s="137" t="s">
        <v>438</v>
      </c>
    </row>
    <row r="227" spans="2:65" s="1" customFormat="1" ht="16.5" customHeight="1">
      <c r="B227" s="126"/>
      <c r="C227" s="127" t="s">
        <v>439</v>
      </c>
      <c r="D227" s="127" t="s">
        <v>144</v>
      </c>
      <c r="E227" s="128" t="s">
        <v>440</v>
      </c>
      <c r="F227" s="129" t="s">
        <v>441</v>
      </c>
      <c r="G227" s="130" t="s">
        <v>429</v>
      </c>
      <c r="H227" s="131">
        <v>1</v>
      </c>
      <c r="I227" s="132">
        <v>150000</v>
      </c>
      <c r="J227" s="132">
        <f t="shared" si="50"/>
        <v>150000</v>
      </c>
      <c r="K227" s="129" t="s">
        <v>1</v>
      </c>
      <c r="L227" s="27"/>
      <c r="M227" s="133" t="s">
        <v>1</v>
      </c>
      <c r="N227" s="134" t="s">
        <v>39</v>
      </c>
      <c r="O227" s="135">
        <v>0</v>
      </c>
      <c r="P227" s="135">
        <f t="shared" si="51"/>
        <v>0</v>
      </c>
      <c r="Q227" s="135">
        <v>0</v>
      </c>
      <c r="R227" s="135">
        <f t="shared" si="52"/>
        <v>0</v>
      </c>
      <c r="S227" s="135">
        <v>0</v>
      </c>
      <c r="T227" s="136">
        <f t="shared" si="53"/>
        <v>0</v>
      </c>
      <c r="AR227" s="137" t="s">
        <v>149</v>
      </c>
      <c r="AT227" s="137" t="s">
        <v>144</v>
      </c>
      <c r="AU227" s="137" t="s">
        <v>143</v>
      </c>
      <c r="AY227" s="15" t="s">
        <v>141</v>
      </c>
      <c r="BE227" s="138">
        <f t="shared" si="54"/>
        <v>0</v>
      </c>
      <c r="BF227" s="138">
        <f t="shared" si="55"/>
        <v>150000</v>
      </c>
      <c r="BG227" s="138">
        <f t="shared" si="56"/>
        <v>0</v>
      </c>
      <c r="BH227" s="138">
        <f t="shared" si="57"/>
        <v>0</v>
      </c>
      <c r="BI227" s="138">
        <f t="shared" si="58"/>
        <v>0</v>
      </c>
      <c r="BJ227" s="15" t="s">
        <v>143</v>
      </c>
      <c r="BK227" s="138">
        <f t="shared" si="59"/>
        <v>150000</v>
      </c>
      <c r="BL227" s="15" t="s">
        <v>149</v>
      </c>
      <c r="BM227" s="137" t="s">
        <v>442</v>
      </c>
    </row>
    <row r="228" spans="2:65" s="1" customFormat="1" ht="16.5" customHeight="1">
      <c r="B228" s="126"/>
      <c r="C228" s="127" t="s">
        <v>443</v>
      </c>
      <c r="D228" s="127" t="s">
        <v>144</v>
      </c>
      <c r="E228" s="128" t="s">
        <v>444</v>
      </c>
      <c r="F228" s="129" t="s">
        <v>445</v>
      </c>
      <c r="G228" s="130" t="s">
        <v>429</v>
      </c>
      <c r="H228" s="131">
        <v>1</v>
      </c>
      <c r="I228" s="132">
        <v>275000</v>
      </c>
      <c r="J228" s="132">
        <f t="shared" si="50"/>
        <v>275000</v>
      </c>
      <c r="K228" s="129" t="s">
        <v>1</v>
      </c>
      <c r="L228" s="27"/>
      <c r="M228" s="133" t="s">
        <v>1</v>
      </c>
      <c r="N228" s="134" t="s">
        <v>39</v>
      </c>
      <c r="O228" s="135">
        <v>0</v>
      </c>
      <c r="P228" s="135">
        <f t="shared" si="51"/>
        <v>0</v>
      </c>
      <c r="Q228" s="135">
        <v>0</v>
      </c>
      <c r="R228" s="135">
        <f t="shared" si="52"/>
        <v>0</v>
      </c>
      <c r="S228" s="135">
        <v>0</v>
      </c>
      <c r="T228" s="136">
        <f t="shared" si="53"/>
        <v>0</v>
      </c>
      <c r="AR228" s="137" t="s">
        <v>149</v>
      </c>
      <c r="AT228" s="137" t="s">
        <v>144</v>
      </c>
      <c r="AU228" s="137" t="s">
        <v>143</v>
      </c>
      <c r="AY228" s="15" t="s">
        <v>141</v>
      </c>
      <c r="BE228" s="138">
        <f t="shared" si="54"/>
        <v>0</v>
      </c>
      <c r="BF228" s="138">
        <f t="shared" si="55"/>
        <v>275000</v>
      </c>
      <c r="BG228" s="138">
        <f t="shared" si="56"/>
        <v>0</v>
      </c>
      <c r="BH228" s="138">
        <f t="shared" si="57"/>
        <v>0</v>
      </c>
      <c r="BI228" s="138">
        <f t="shared" si="58"/>
        <v>0</v>
      </c>
      <c r="BJ228" s="15" t="s">
        <v>143</v>
      </c>
      <c r="BK228" s="138">
        <f t="shared" si="59"/>
        <v>275000</v>
      </c>
      <c r="BL228" s="15" t="s">
        <v>149</v>
      </c>
      <c r="BM228" s="137" t="s">
        <v>446</v>
      </c>
    </row>
    <row r="229" spans="2:65" s="1" customFormat="1" ht="16.5" customHeight="1">
      <c r="B229" s="126"/>
      <c r="C229" s="127" t="s">
        <v>447</v>
      </c>
      <c r="D229" s="127" t="s">
        <v>144</v>
      </c>
      <c r="E229" s="128" t="s">
        <v>448</v>
      </c>
      <c r="F229" s="129" t="s">
        <v>449</v>
      </c>
      <c r="G229" s="130" t="s">
        <v>450</v>
      </c>
      <c r="H229" s="131">
        <v>9</v>
      </c>
      <c r="I229" s="132">
        <v>1700</v>
      </c>
      <c r="J229" s="132">
        <f t="shared" si="50"/>
        <v>15300</v>
      </c>
      <c r="K229" s="129" t="s">
        <v>1</v>
      </c>
      <c r="L229" s="27"/>
      <c r="M229" s="133" t="s">
        <v>1</v>
      </c>
      <c r="N229" s="134" t="s">
        <v>39</v>
      </c>
      <c r="O229" s="135">
        <v>0</v>
      </c>
      <c r="P229" s="135">
        <f t="shared" si="51"/>
        <v>0</v>
      </c>
      <c r="Q229" s="135">
        <v>0</v>
      </c>
      <c r="R229" s="135">
        <f t="shared" si="52"/>
        <v>0</v>
      </c>
      <c r="S229" s="135">
        <v>0</v>
      </c>
      <c r="T229" s="136">
        <f t="shared" si="53"/>
        <v>0</v>
      </c>
      <c r="AR229" s="137" t="s">
        <v>149</v>
      </c>
      <c r="AT229" s="137" t="s">
        <v>144</v>
      </c>
      <c r="AU229" s="137" t="s">
        <v>143</v>
      </c>
      <c r="AY229" s="15" t="s">
        <v>141</v>
      </c>
      <c r="BE229" s="138">
        <f t="shared" si="54"/>
        <v>0</v>
      </c>
      <c r="BF229" s="138">
        <f t="shared" si="55"/>
        <v>15300</v>
      </c>
      <c r="BG229" s="138">
        <f t="shared" si="56"/>
        <v>0</v>
      </c>
      <c r="BH229" s="138">
        <f t="shared" si="57"/>
        <v>0</v>
      </c>
      <c r="BI229" s="138">
        <f t="shared" si="58"/>
        <v>0</v>
      </c>
      <c r="BJ229" s="15" t="s">
        <v>143</v>
      </c>
      <c r="BK229" s="138">
        <f t="shared" si="59"/>
        <v>15300</v>
      </c>
      <c r="BL229" s="15" t="s">
        <v>149</v>
      </c>
      <c r="BM229" s="137" t="s">
        <v>451</v>
      </c>
    </row>
    <row r="230" spans="2:65" s="1" customFormat="1" ht="37.9" customHeight="1">
      <c r="B230" s="126"/>
      <c r="C230" s="127" t="s">
        <v>452</v>
      </c>
      <c r="D230" s="127" t="s">
        <v>144</v>
      </c>
      <c r="E230" s="128" t="s">
        <v>453</v>
      </c>
      <c r="F230" s="129" t="s">
        <v>454</v>
      </c>
      <c r="G230" s="130" t="s">
        <v>455</v>
      </c>
      <c r="H230" s="131">
        <v>73.84</v>
      </c>
      <c r="I230" s="132">
        <v>760</v>
      </c>
      <c r="J230" s="132">
        <f t="shared" si="50"/>
        <v>56118.400000000001</v>
      </c>
      <c r="K230" s="129" t="s">
        <v>1</v>
      </c>
      <c r="L230" s="27"/>
      <c r="M230" s="133" t="s">
        <v>1</v>
      </c>
      <c r="N230" s="134" t="s">
        <v>39</v>
      </c>
      <c r="O230" s="135">
        <v>0</v>
      </c>
      <c r="P230" s="135">
        <f t="shared" si="51"/>
        <v>0</v>
      </c>
      <c r="Q230" s="135">
        <v>0</v>
      </c>
      <c r="R230" s="135">
        <f t="shared" si="52"/>
        <v>0</v>
      </c>
      <c r="S230" s="135">
        <v>0</v>
      </c>
      <c r="T230" s="136">
        <f t="shared" si="53"/>
        <v>0</v>
      </c>
      <c r="AR230" s="137" t="s">
        <v>149</v>
      </c>
      <c r="AT230" s="137" t="s">
        <v>144</v>
      </c>
      <c r="AU230" s="137" t="s">
        <v>143</v>
      </c>
      <c r="AY230" s="15" t="s">
        <v>141</v>
      </c>
      <c r="BE230" s="138">
        <f t="shared" si="54"/>
        <v>0</v>
      </c>
      <c r="BF230" s="138">
        <f t="shared" si="55"/>
        <v>56118.400000000001</v>
      </c>
      <c r="BG230" s="138">
        <f t="shared" si="56"/>
        <v>0</v>
      </c>
      <c r="BH230" s="138">
        <f t="shared" si="57"/>
        <v>0</v>
      </c>
      <c r="BI230" s="138">
        <f t="shared" si="58"/>
        <v>0</v>
      </c>
      <c r="BJ230" s="15" t="s">
        <v>143</v>
      </c>
      <c r="BK230" s="138">
        <f t="shared" si="59"/>
        <v>56118.400000000001</v>
      </c>
      <c r="BL230" s="15" t="s">
        <v>149</v>
      </c>
      <c r="BM230" s="137" t="s">
        <v>456</v>
      </c>
    </row>
    <row r="231" spans="2:65" s="1" customFormat="1" ht="24.2" customHeight="1">
      <c r="B231" s="126"/>
      <c r="C231" s="127" t="s">
        <v>457</v>
      </c>
      <c r="D231" s="127" t="s">
        <v>144</v>
      </c>
      <c r="E231" s="128" t="s">
        <v>458</v>
      </c>
      <c r="F231" s="129" t="s">
        <v>459</v>
      </c>
      <c r="G231" s="130" t="s">
        <v>455</v>
      </c>
      <c r="H231" s="131">
        <v>62.4</v>
      </c>
      <c r="I231" s="132">
        <v>2300</v>
      </c>
      <c r="J231" s="132">
        <f t="shared" si="50"/>
        <v>143520</v>
      </c>
      <c r="K231" s="129" t="s">
        <v>1</v>
      </c>
      <c r="L231" s="27"/>
      <c r="M231" s="133" t="s">
        <v>1</v>
      </c>
      <c r="N231" s="134" t="s">
        <v>39</v>
      </c>
      <c r="O231" s="135">
        <v>0</v>
      </c>
      <c r="P231" s="135">
        <f t="shared" si="51"/>
        <v>0</v>
      </c>
      <c r="Q231" s="135">
        <v>0</v>
      </c>
      <c r="R231" s="135">
        <f t="shared" si="52"/>
        <v>0</v>
      </c>
      <c r="S231" s="135">
        <v>0</v>
      </c>
      <c r="T231" s="136">
        <f t="shared" si="53"/>
        <v>0</v>
      </c>
      <c r="AR231" s="137" t="s">
        <v>149</v>
      </c>
      <c r="AT231" s="137" t="s">
        <v>144</v>
      </c>
      <c r="AU231" s="137" t="s">
        <v>143</v>
      </c>
      <c r="AY231" s="15" t="s">
        <v>141</v>
      </c>
      <c r="BE231" s="138">
        <f t="shared" si="54"/>
        <v>0</v>
      </c>
      <c r="BF231" s="138">
        <f t="shared" si="55"/>
        <v>143520</v>
      </c>
      <c r="BG231" s="138">
        <f t="shared" si="56"/>
        <v>0</v>
      </c>
      <c r="BH231" s="138">
        <f t="shared" si="57"/>
        <v>0</v>
      </c>
      <c r="BI231" s="138">
        <f t="shared" si="58"/>
        <v>0</v>
      </c>
      <c r="BJ231" s="15" t="s">
        <v>143</v>
      </c>
      <c r="BK231" s="138">
        <f t="shared" si="59"/>
        <v>143520</v>
      </c>
      <c r="BL231" s="15" t="s">
        <v>149</v>
      </c>
      <c r="BM231" s="137" t="s">
        <v>460</v>
      </c>
    </row>
    <row r="232" spans="2:65" s="1" customFormat="1" ht="16.5" customHeight="1">
      <c r="B232" s="126"/>
      <c r="C232" s="127" t="s">
        <v>461</v>
      </c>
      <c r="D232" s="127" t="s">
        <v>144</v>
      </c>
      <c r="E232" s="128" t="s">
        <v>462</v>
      </c>
      <c r="F232" s="129" t="s">
        <v>463</v>
      </c>
      <c r="G232" s="130" t="s">
        <v>157</v>
      </c>
      <c r="H232" s="131">
        <v>9.2089999999999996</v>
      </c>
      <c r="I232" s="132">
        <v>1800</v>
      </c>
      <c r="J232" s="132">
        <f t="shared" si="50"/>
        <v>16576.2</v>
      </c>
      <c r="K232" s="129" t="s">
        <v>1</v>
      </c>
      <c r="L232" s="27"/>
      <c r="M232" s="133" t="s">
        <v>1</v>
      </c>
      <c r="N232" s="134" t="s">
        <v>39</v>
      </c>
      <c r="O232" s="135">
        <v>0</v>
      </c>
      <c r="P232" s="135">
        <f t="shared" si="51"/>
        <v>0</v>
      </c>
      <c r="Q232" s="135">
        <v>0</v>
      </c>
      <c r="R232" s="135">
        <f t="shared" si="52"/>
        <v>0</v>
      </c>
      <c r="S232" s="135">
        <v>0</v>
      </c>
      <c r="T232" s="136">
        <f t="shared" si="53"/>
        <v>0</v>
      </c>
      <c r="AR232" s="137" t="s">
        <v>149</v>
      </c>
      <c r="AT232" s="137" t="s">
        <v>144</v>
      </c>
      <c r="AU232" s="137" t="s">
        <v>143</v>
      </c>
      <c r="AY232" s="15" t="s">
        <v>141</v>
      </c>
      <c r="BE232" s="138">
        <f t="shared" si="54"/>
        <v>0</v>
      </c>
      <c r="BF232" s="138">
        <f t="shared" si="55"/>
        <v>16576.2</v>
      </c>
      <c r="BG232" s="138">
        <f t="shared" si="56"/>
        <v>0</v>
      </c>
      <c r="BH232" s="138">
        <f t="shared" si="57"/>
        <v>0</v>
      </c>
      <c r="BI232" s="138">
        <f t="shared" si="58"/>
        <v>0</v>
      </c>
      <c r="BJ232" s="15" t="s">
        <v>143</v>
      </c>
      <c r="BK232" s="138">
        <f t="shared" si="59"/>
        <v>16576.2</v>
      </c>
      <c r="BL232" s="15" t="s">
        <v>149</v>
      </c>
      <c r="BM232" s="137" t="s">
        <v>464</v>
      </c>
    </row>
    <row r="233" spans="2:65" s="1" customFormat="1" ht="21.75" customHeight="1">
      <c r="B233" s="126"/>
      <c r="C233" s="127" t="s">
        <v>465</v>
      </c>
      <c r="D233" s="127" t="s">
        <v>144</v>
      </c>
      <c r="E233" s="128" t="s">
        <v>466</v>
      </c>
      <c r="F233" s="129" t="s">
        <v>467</v>
      </c>
      <c r="G233" s="130" t="s">
        <v>450</v>
      </c>
      <c r="H233" s="131">
        <v>8</v>
      </c>
      <c r="I233" s="132">
        <v>1400</v>
      </c>
      <c r="J233" s="132">
        <f t="shared" si="50"/>
        <v>11200</v>
      </c>
      <c r="K233" s="129" t="s">
        <v>1</v>
      </c>
      <c r="L233" s="27"/>
      <c r="M233" s="133" t="s">
        <v>1</v>
      </c>
      <c r="N233" s="134" t="s">
        <v>39</v>
      </c>
      <c r="O233" s="135">
        <v>0</v>
      </c>
      <c r="P233" s="135">
        <f t="shared" si="51"/>
        <v>0</v>
      </c>
      <c r="Q233" s="135">
        <v>0</v>
      </c>
      <c r="R233" s="135">
        <f t="shared" si="52"/>
        <v>0</v>
      </c>
      <c r="S233" s="135">
        <v>0</v>
      </c>
      <c r="T233" s="136">
        <f t="shared" si="53"/>
        <v>0</v>
      </c>
      <c r="AR233" s="137" t="s">
        <v>149</v>
      </c>
      <c r="AT233" s="137" t="s">
        <v>144</v>
      </c>
      <c r="AU233" s="137" t="s">
        <v>143</v>
      </c>
      <c r="AY233" s="15" t="s">
        <v>141</v>
      </c>
      <c r="BE233" s="138">
        <f t="shared" si="54"/>
        <v>0</v>
      </c>
      <c r="BF233" s="138">
        <f t="shared" si="55"/>
        <v>11200</v>
      </c>
      <c r="BG233" s="138">
        <f t="shared" si="56"/>
        <v>0</v>
      </c>
      <c r="BH233" s="138">
        <f t="shared" si="57"/>
        <v>0</v>
      </c>
      <c r="BI233" s="138">
        <f t="shared" si="58"/>
        <v>0</v>
      </c>
      <c r="BJ233" s="15" t="s">
        <v>143</v>
      </c>
      <c r="BK233" s="138">
        <f t="shared" si="59"/>
        <v>11200</v>
      </c>
      <c r="BL233" s="15" t="s">
        <v>149</v>
      </c>
      <c r="BM233" s="137" t="s">
        <v>468</v>
      </c>
    </row>
    <row r="234" spans="2:65" s="1" customFormat="1" ht="24.2" customHeight="1">
      <c r="B234" s="126"/>
      <c r="C234" s="127" t="s">
        <v>469</v>
      </c>
      <c r="D234" s="127" t="s">
        <v>144</v>
      </c>
      <c r="E234" s="128" t="s">
        <v>470</v>
      </c>
      <c r="F234" s="129" t="s">
        <v>471</v>
      </c>
      <c r="G234" s="130" t="s">
        <v>157</v>
      </c>
      <c r="H234" s="131">
        <v>705.12</v>
      </c>
      <c r="I234" s="132">
        <v>174</v>
      </c>
      <c r="J234" s="132">
        <f t="shared" si="50"/>
        <v>122690.88</v>
      </c>
      <c r="K234" s="129" t="s">
        <v>148</v>
      </c>
      <c r="L234" s="27"/>
      <c r="M234" s="133" t="s">
        <v>1</v>
      </c>
      <c r="N234" s="134" t="s">
        <v>39</v>
      </c>
      <c r="O234" s="135">
        <v>0.08</v>
      </c>
      <c r="P234" s="135">
        <f t="shared" si="51"/>
        <v>56.409600000000005</v>
      </c>
      <c r="Q234" s="135">
        <v>1.24E-3</v>
      </c>
      <c r="R234" s="135">
        <f t="shared" si="52"/>
        <v>0.87434880000000004</v>
      </c>
      <c r="S234" s="135">
        <v>0</v>
      </c>
      <c r="T234" s="136">
        <f t="shared" si="53"/>
        <v>0</v>
      </c>
      <c r="AR234" s="137" t="s">
        <v>149</v>
      </c>
      <c r="AT234" s="137" t="s">
        <v>144</v>
      </c>
      <c r="AU234" s="137" t="s">
        <v>143</v>
      </c>
      <c r="AY234" s="15" t="s">
        <v>141</v>
      </c>
      <c r="BE234" s="138">
        <f t="shared" si="54"/>
        <v>0</v>
      </c>
      <c r="BF234" s="138">
        <f t="shared" si="55"/>
        <v>122690.88</v>
      </c>
      <c r="BG234" s="138">
        <f t="shared" si="56"/>
        <v>0</v>
      </c>
      <c r="BH234" s="138">
        <f t="shared" si="57"/>
        <v>0</v>
      </c>
      <c r="BI234" s="138">
        <f t="shared" si="58"/>
        <v>0</v>
      </c>
      <c r="BJ234" s="15" t="s">
        <v>143</v>
      </c>
      <c r="BK234" s="138">
        <f t="shared" si="59"/>
        <v>122690.88</v>
      </c>
      <c r="BL234" s="15" t="s">
        <v>149</v>
      </c>
      <c r="BM234" s="137" t="s">
        <v>472</v>
      </c>
    </row>
    <row r="235" spans="2:65" s="1" customFormat="1" ht="33" customHeight="1">
      <c r="B235" s="126"/>
      <c r="C235" s="127" t="s">
        <v>473</v>
      </c>
      <c r="D235" s="127" t="s">
        <v>144</v>
      </c>
      <c r="E235" s="128" t="s">
        <v>474</v>
      </c>
      <c r="F235" s="129" t="s">
        <v>475</v>
      </c>
      <c r="G235" s="130" t="s">
        <v>157</v>
      </c>
      <c r="H235" s="131">
        <v>85544.502999999997</v>
      </c>
      <c r="I235" s="132">
        <v>1.0900000000000001</v>
      </c>
      <c r="J235" s="132">
        <f t="shared" si="50"/>
        <v>93243.51</v>
      </c>
      <c r="K235" s="129" t="s">
        <v>148</v>
      </c>
      <c r="L235" s="27"/>
      <c r="M235" s="133" t="s">
        <v>1</v>
      </c>
      <c r="N235" s="134" t="s">
        <v>39</v>
      </c>
      <c r="O235" s="135">
        <v>0</v>
      </c>
      <c r="P235" s="135">
        <f t="shared" si="51"/>
        <v>0</v>
      </c>
      <c r="Q235" s="135">
        <v>0</v>
      </c>
      <c r="R235" s="135">
        <f t="shared" si="52"/>
        <v>0</v>
      </c>
      <c r="S235" s="135">
        <v>0</v>
      </c>
      <c r="T235" s="136">
        <f t="shared" si="53"/>
        <v>0</v>
      </c>
      <c r="AR235" s="137" t="s">
        <v>149</v>
      </c>
      <c r="AT235" s="137" t="s">
        <v>144</v>
      </c>
      <c r="AU235" s="137" t="s">
        <v>143</v>
      </c>
      <c r="AY235" s="15" t="s">
        <v>141</v>
      </c>
      <c r="BE235" s="138">
        <f t="shared" si="54"/>
        <v>0</v>
      </c>
      <c r="BF235" s="138">
        <f t="shared" si="55"/>
        <v>93243.51</v>
      </c>
      <c r="BG235" s="138">
        <f t="shared" si="56"/>
        <v>0</v>
      </c>
      <c r="BH235" s="138">
        <f t="shared" si="57"/>
        <v>0</v>
      </c>
      <c r="BI235" s="138">
        <f t="shared" si="58"/>
        <v>0</v>
      </c>
      <c r="BJ235" s="15" t="s">
        <v>143</v>
      </c>
      <c r="BK235" s="138">
        <f t="shared" si="59"/>
        <v>93243.51</v>
      </c>
      <c r="BL235" s="15" t="s">
        <v>149</v>
      </c>
      <c r="BM235" s="137" t="s">
        <v>476</v>
      </c>
    </row>
    <row r="236" spans="2:65" s="1" customFormat="1" ht="33" customHeight="1">
      <c r="B236" s="126"/>
      <c r="C236" s="127" t="s">
        <v>477</v>
      </c>
      <c r="D236" s="127" t="s">
        <v>144</v>
      </c>
      <c r="E236" s="128" t="s">
        <v>478</v>
      </c>
      <c r="F236" s="129" t="s">
        <v>479</v>
      </c>
      <c r="G236" s="130" t="s">
        <v>157</v>
      </c>
      <c r="H236" s="131">
        <v>950.49400000000003</v>
      </c>
      <c r="I236" s="132">
        <v>47.8</v>
      </c>
      <c r="J236" s="132">
        <f t="shared" si="50"/>
        <v>45433.61</v>
      </c>
      <c r="K236" s="129" t="s">
        <v>148</v>
      </c>
      <c r="L236" s="27"/>
      <c r="M236" s="133" t="s">
        <v>1</v>
      </c>
      <c r="N236" s="134" t="s">
        <v>39</v>
      </c>
      <c r="O236" s="135">
        <v>9.7000000000000003E-2</v>
      </c>
      <c r="P236" s="135">
        <f t="shared" si="51"/>
        <v>92.197918000000001</v>
      </c>
      <c r="Q236" s="135">
        <v>0</v>
      </c>
      <c r="R236" s="135">
        <f t="shared" si="52"/>
        <v>0</v>
      </c>
      <c r="S236" s="135">
        <v>0</v>
      </c>
      <c r="T236" s="136">
        <f t="shared" si="53"/>
        <v>0</v>
      </c>
      <c r="AR236" s="137" t="s">
        <v>149</v>
      </c>
      <c r="AT236" s="137" t="s">
        <v>144</v>
      </c>
      <c r="AU236" s="137" t="s">
        <v>143</v>
      </c>
      <c r="AY236" s="15" t="s">
        <v>141</v>
      </c>
      <c r="BE236" s="138">
        <f t="shared" si="54"/>
        <v>0</v>
      </c>
      <c r="BF236" s="138">
        <f t="shared" si="55"/>
        <v>45433.61</v>
      </c>
      <c r="BG236" s="138">
        <f t="shared" si="56"/>
        <v>0</v>
      </c>
      <c r="BH236" s="138">
        <f t="shared" si="57"/>
        <v>0</v>
      </c>
      <c r="BI236" s="138">
        <f t="shared" si="58"/>
        <v>0</v>
      </c>
      <c r="BJ236" s="15" t="s">
        <v>143</v>
      </c>
      <c r="BK236" s="138">
        <f t="shared" si="59"/>
        <v>45433.61</v>
      </c>
      <c r="BL236" s="15" t="s">
        <v>149</v>
      </c>
      <c r="BM236" s="137" t="s">
        <v>480</v>
      </c>
    </row>
    <row r="237" spans="2:65" s="1" customFormat="1" ht="33" customHeight="1">
      <c r="B237" s="126"/>
      <c r="C237" s="127" t="s">
        <v>481</v>
      </c>
      <c r="D237" s="127" t="s">
        <v>144</v>
      </c>
      <c r="E237" s="128" t="s">
        <v>482</v>
      </c>
      <c r="F237" s="129" t="s">
        <v>483</v>
      </c>
      <c r="G237" s="130" t="s">
        <v>157</v>
      </c>
      <c r="H237" s="131">
        <v>950.49400000000003</v>
      </c>
      <c r="I237" s="132">
        <v>78.7</v>
      </c>
      <c r="J237" s="132">
        <f t="shared" si="50"/>
        <v>74803.88</v>
      </c>
      <c r="K237" s="129" t="s">
        <v>148</v>
      </c>
      <c r="L237" s="27"/>
      <c r="M237" s="133" t="s">
        <v>1</v>
      </c>
      <c r="N237" s="134" t="s">
        <v>39</v>
      </c>
      <c r="O237" s="135">
        <v>0.154</v>
      </c>
      <c r="P237" s="135">
        <f t="shared" si="51"/>
        <v>146.37607600000001</v>
      </c>
      <c r="Q237" s="135">
        <v>0</v>
      </c>
      <c r="R237" s="135">
        <f t="shared" si="52"/>
        <v>0</v>
      </c>
      <c r="S237" s="135">
        <v>0</v>
      </c>
      <c r="T237" s="136">
        <f t="shared" si="53"/>
        <v>0</v>
      </c>
      <c r="AR237" s="137" t="s">
        <v>149</v>
      </c>
      <c r="AT237" s="137" t="s">
        <v>144</v>
      </c>
      <c r="AU237" s="137" t="s">
        <v>143</v>
      </c>
      <c r="AY237" s="15" t="s">
        <v>141</v>
      </c>
      <c r="BE237" s="138">
        <f t="shared" si="54"/>
        <v>0</v>
      </c>
      <c r="BF237" s="138">
        <f t="shared" si="55"/>
        <v>74803.88</v>
      </c>
      <c r="BG237" s="138">
        <f t="shared" si="56"/>
        <v>0</v>
      </c>
      <c r="BH237" s="138">
        <f t="shared" si="57"/>
        <v>0</v>
      </c>
      <c r="BI237" s="138">
        <f t="shared" si="58"/>
        <v>0</v>
      </c>
      <c r="BJ237" s="15" t="s">
        <v>143</v>
      </c>
      <c r="BK237" s="138">
        <f t="shared" si="59"/>
        <v>74803.88</v>
      </c>
      <c r="BL237" s="15" t="s">
        <v>149</v>
      </c>
      <c r="BM237" s="137" t="s">
        <v>484</v>
      </c>
    </row>
    <row r="238" spans="2:65" s="1" customFormat="1" ht="16.5" customHeight="1">
      <c r="B238" s="126"/>
      <c r="C238" s="127" t="s">
        <v>485</v>
      </c>
      <c r="D238" s="127" t="s">
        <v>144</v>
      </c>
      <c r="E238" s="128" t="s">
        <v>486</v>
      </c>
      <c r="F238" s="129" t="s">
        <v>487</v>
      </c>
      <c r="G238" s="130" t="s">
        <v>157</v>
      </c>
      <c r="H238" s="131">
        <v>950.49400000000003</v>
      </c>
      <c r="I238" s="132">
        <v>20.9</v>
      </c>
      <c r="J238" s="132">
        <f t="shared" si="50"/>
        <v>19865.32</v>
      </c>
      <c r="K238" s="129" t="s">
        <v>148</v>
      </c>
      <c r="L238" s="27"/>
      <c r="M238" s="133" t="s">
        <v>1</v>
      </c>
      <c r="N238" s="134" t="s">
        <v>39</v>
      </c>
      <c r="O238" s="135">
        <v>4.9000000000000002E-2</v>
      </c>
      <c r="P238" s="135">
        <f t="shared" si="51"/>
        <v>46.574206000000004</v>
      </c>
      <c r="Q238" s="135">
        <v>0</v>
      </c>
      <c r="R238" s="135">
        <f t="shared" si="52"/>
        <v>0</v>
      </c>
      <c r="S238" s="135">
        <v>0</v>
      </c>
      <c r="T238" s="136">
        <f t="shared" si="53"/>
        <v>0</v>
      </c>
      <c r="AR238" s="137" t="s">
        <v>149</v>
      </c>
      <c r="AT238" s="137" t="s">
        <v>144</v>
      </c>
      <c r="AU238" s="137" t="s">
        <v>143</v>
      </c>
      <c r="AY238" s="15" t="s">
        <v>141</v>
      </c>
      <c r="BE238" s="138">
        <f t="shared" si="54"/>
        <v>0</v>
      </c>
      <c r="BF238" s="138">
        <f t="shared" si="55"/>
        <v>19865.32</v>
      </c>
      <c r="BG238" s="138">
        <f t="shared" si="56"/>
        <v>0</v>
      </c>
      <c r="BH238" s="138">
        <f t="shared" si="57"/>
        <v>0</v>
      </c>
      <c r="BI238" s="138">
        <f t="shared" si="58"/>
        <v>0</v>
      </c>
      <c r="BJ238" s="15" t="s">
        <v>143</v>
      </c>
      <c r="BK238" s="138">
        <f t="shared" si="59"/>
        <v>19865.32</v>
      </c>
      <c r="BL238" s="15" t="s">
        <v>149</v>
      </c>
      <c r="BM238" s="137" t="s">
        <v>488</v>
      </c>
    </row>
    <row r="239" spans="2:65" s="1" customFormat="1" ht="21.75" customHeight="1">
      <c r="B239" s="126"/>
      <c r="C239" s="127" t="s">
        <v>489</v>
      </c>
      <c r="D239" s="127" t="s">
        <v>144</v>
      </c>
      <c r="E239" s="128" t="s">
        <v>490</v>
      </c>
      <c r="F239" s="129" t="s">
        <v>491</v>
      </c>
      <c r="G239" s="130" t="s">
        <v>157</v>
      </c>
      <c r="H239" s="131">
        <v>85544.502999999997</v>
      </c>
      <c r="I239" s="132">
        <v>0.38</v>
      </c>
      <c r="J239" s="132">
        <f t="shared" si="50"/>
        <v>32506.91</v>
      </c>
      <c r="K239" s="129" t="s">
        <v>148</v>
      </c>
      <c r="L239" s="27"/>
      <c r="M239" s="133" t="s">
        <v>1</v>
      </c>
      <c r="N239" s="134" t="s">
        <v>39</v>
      </c>
      <c r="O239" s="135">
        <v>0</v>
      </c>
      <c r="P239" s="135">
        <f t="shared" si="51"/>
        <v>0</v>
      </c>
      <c r="Q239" s="135">
        <v>0</v>
      </c>
      <c r="R239" s="135">
        <f t="shared" si="52"/>
        <v>0</v>
      </c>
      <c r="S239" s="135">
        <v>0</v>
      </c>
      <c r="T239" s="136">
        <f t="shared" si="53"/>
        <v>0</v>
      </c>
      <c r="AR239" s="137" t="s">
        <v>149</v>
      </c>
      <c r="AT239" s="137" t="s">
        <v>144</v>
      </c>
      <c r="AU239" s="137" t="s">
        <v>143</v>
      </c>
      <c r="AY239" s="15" t="s">
        <v>141</v>
      </c>
      <c r="BE239" s="138">
        <f t="shared" si="54"/>
        <v>0</v>
      </c>
      <c r="BF239" s="138">
        <f t="shared" si="55"/>
        <v>32506.91</v>
      </c>
      <c r="BG239" s="138">
        <f t="shared" si="56"/>
        <v>0</v>
      </c>
      <c r="BH239" s="138">
        <f t="shared" si="57"/>
        <v>0</v>
      </c>
      <c r="BI239" s="138">
        <f t="shared" si="58"/>
        <v>0</v>
      </c>
      <c r="BJ239" s="15" t="s">
        <v>143</v>
      </c>
      <c r="BK239" s="138">
        <f t="shared" si="59"/>
        <v>32506.91</v>
      </c>
      <c r="BL239" s="15" t="s">
        <v>149</v>
      </c>
      <c r="BM239" s="137" t="s">
        <v>492</v>
      </c>
    </row>
    <row r="240" spans="2:65" s="1" customFormat="1" ht="21.75" customHeight="1">
      <c r="B240" s="126"/>
      <c r="C240" s="127" t="s">
        <v>493</v>
      </c>
      <c r="D240" s="127" t="s">
        <v>144</v>
      </c>
      <c r="E240" s="128" t="s">
        <v>494</v>
      </c>
      <c r="F240" s="129" t="s">
        <v>495</v>
      </c>
      <c r="G240" s="130" t="s">
        <v>157</v>
      </c>
      <c r="H240" s="131">
        <v>950.49400000000003</v>
      </c>
      <c r="I240" s="132">
        <v>14.1</v>
      </c>
      <c r="J240" s="132">
        <f t="shared" si="50"/>
        <v>13401.97</v>
      </c>
      <c r="K240" s="129" t="s">
        <v>148</v>
      </c>
      <c r="L240" s="27"/>
      <c r="M240" s="133" t="s">
        <v>1</v>
      </c>
      <c r="N240" s="134" t="s">
        <v>39</v>
      </c>
      <c r="O240" s="135">
        <v>3.3000000000000002E-2</v>
      </c>
      <c r="P240" s="135">
        <f t="shared" si="51"/>
        <v>31.366302000000001</v>
      </c>
      <c r="Q240" s="135">
        <v>0</v>
      </c>
      <c r="R240" s="135">
        <f t="shared" si="52"/>
        <v>0</v>
      </c>
      <c r="S240" s="135">
        <v>0</v>
      </c>
      <c r="T240" s="136">
        <f t="shared" si="53"/>
        <v>0</v>
      </c>
      <c r="AR240" s="137" t="s">
        <v>149</v>
      </c>
      <c r="AT240" s="137" t="s">
        <v>144</v>
      </c>
      <c r="AU240" s="137" t="s">
        <v>143</v>
      </c>
      <c r="AY240" s="15" t="s">
        <v>141</v>
      </c>
      <c r="BE240" s="138">
        <f t="shared" si="54"/>
        <v>0</v>
      </c>
      <c r="BF240" s="138">
        <f t="shared" si="55"/>
        <v>13401.97</v>
      </c>
      <c r="BG240" s="138">
        <f t="shared" si="56"/>
        <v>0</v>
      </c>
      <c r="BH240" s="138">
        <f t="shared" si="57"/>
        <v>0</v>
      </c>
      <c r="BI240" s="138">
        <f t="shared" si="58"/>
        <v>0</v>
      </c>
      <c r="BJ240" s="15" t="s">
        <v>143</v>
      </c>
      <c r="BK240" s="138">
        <f t="shared" si="59"/>
        <v>13401.97</v>
      </c>
      <c r="BL240" s="15" t="s">
        <v>149</v>
      </c>
      <c r="BM240" s="137" t="s">
        <v>496</v>
      </c>
    </row>
    <row r="241" spans="2:65" s="1" customFormat="1" ht="33" customHeight="1">
      <c r="B241" s="126"/>
      <c r="C241" s="127" t="s">
        <v>497</v>
      </c>
      <c r="D241" s="127" t="s">
        <v>144</v>
      </c>
      <c r="E241" s="128" t="s">
        <v>498</v>
      </c>
      <c r="F241" s="129" t="s">
        <v>499</v>
      </c>
      <c r="G241" s="130" t="s">
        <v>157</v>
      </c>
      <c r="H241" s="131">
        <v>1018.779</v>
      </c>
      <c r="I241" s="132">
        <v>61.6</v>
      </c>
      <c r="J241" s="132">
        <f t="shared" si="50"/>
        <v>62756.79</v>
      </c>
      <c r="K241" s="129" t="s">
        <v>148</v>
      </c>
      <c r="L241" s="27"/>
      <c r="M241" s="133" t="s">
        <v>1</v>
      </c>
      <c r="N241" s="134" t="s">
        <v>39</v>
      </c>
      <c r="O241" s="135">
        <v>0.105</v>
      </c>
      <c r="P241" s="135">
        <f t="shared" si="51"/>
        <v>106.971795</v>
      </c>
      <c r="Q241" s="135">
        <v>1.2999999999999999E-4</v>
      </c>
      <c r="R241" s="135">
        <f t="shared" si="52"/>
        <v>0.13244127</v>
      </c>
      <c r="S241" s="135">
        <v>0</v>
      </c>
      <c r="T241" s="136">
        <f t="shared" si="53"/>
        <v>0</v>
      </c>
      <c r="AR241" s="137" t="s">
        <v>149</v>
      </c>
      <c r="AT241" s="137" t="s">
        <v>144</v>
      </c>
      <c r="AU241" s="137" t="s">
        <v>143</v>
      </c>
      <c r="AY241" s="15" t="s">
        <v>141</v>
      </c>
      <c r="BE241" s="138">
        <f t="shared" si="54"/>
        <v>0</v>
      </c>
      <c r="BF241" s="138">
        <f t="shared" si="55"/>
        <v>62756.79</v>
      </c>
      <c r="BG241" s="138">
        <f t="shared" si="56"/>
        <v>0</v>
      </c>
      <c r="BH241" s="138">
        <f t="shared" si="57"/>
        <v>0</v>
      </c>
      <c r="BI241" s="138">
        <f t="shared" si="58"/>
        <v>0</v>
      </c>
      <c r="BJ241" s="15" t="s">
        <v>143</v>
      </c>
      <c r="BK241" s="138">
        <f t="shared" si="59"/>
        <v>62756.79</v>
      </c>
      <c r="BL241" s="15" t="s">
        <v>149</v>
      </c>
      <c r="BM241" s="137" t="s">
        <v>500</v>
      </c>
    </row>
    <row r="242" spans="2:65" s="1" customFormat="1" ht="24.2" customHeight="1">
      <c r="B242" s="126"/>
      <c r="C242" s="127" t="s">
        <v>501</v>
      </c>
      <c r="D242" s="127" t="s">
        <v>144</v>
      </c>
      <c r="E242" s="128" t="s">
        <v>502</v>
      </c>
      <c r="F242" s="129" t="s">
        <v>503</v>
      </c>
      <c r="G242" s="130" t="s">
        <v>157</v>
      </c>
      <c r="H242" s="131">
        <v>1273.4739999999999</v>
      </c>
      <c r="I242" s="132">
        <v>130</v>
      </c>
      <c r="J242" s="132">
        <f t="shared" si="50"/>
        <v>165551.62</v>
      </c>
      <c r="K242" s="129" t="s">
        <v>148</v>
      </c>
      <c r="L242" s="27"/>
      <c r="M242" s="133" t="s">
        <v>1</v>
      </c>
      <c r="N242" s="134" t="s">
        <v>39</v>
      </c>
      <c r="O242" s="135">
        <v>0.308</v>
      </c>
      <c r="P242" s="135">
        <f t="shared" si="51"/>
        <v>392.22999199999998</v>
      </c>
      <c r="Q242" s="135">
        <v>4.0000000000000003E-5</v>
      </c>
      <c r="R242" s="135">
        <f t="shared" si="52"/>
        <v>5.0938959999999998E-2</v>
      </c>
      <c r="S242" s="135">
        <v>0</v>
      </c>
      <c r="T242" s="136">
        <f t="shared" si="53"/>
        <v>0</v>
      </c>
      <c r="AR242" s="137" t="s">
        <v>149</v>
      </c>
      <c r="AT242" s="137" t="s">
        <v>144</v>
      </c>
      <c r="AU242" s="137" t="s">
        <v>143</v>
      </c>
      <c r="AY242" s="15" t="s">
        <v>141</v>
      </c>
      <c r="BE242" s="138">
        <f t="shared" si="54"/>
        <v>0</v>
      </c>
      <c r="BF242" s="138">
        <f t="shared" si="55"/>
        <v>165551.62</v>
      </c>
      <c r="BG242" s="138">
        <f t="shared" si="56"/>
        <v>0</v>
      </c>
      <c r="BH242" s="138">
        <f t="shared" si="57"/>
        <v>0</v>
      </c>
      <c r="BI242" s="138">
        <f t="shared" si="58"/>
        <v>0</v>
      </c>
      <c r="BJ242" s="15" t="s">
        <v>143</v>
      </c>
      <c r="BK242" s="138">
        <f t="shared" si="59"/>
        <v>165551.62</v>
      </c>
      <c r="BL242" s="15" t="s">
        <v>149</v>
      </c>
      <c r="BM242" s="137" t="s">
        <v>504</v>
      </c>
    </row>
    <row r="243" spans="2:65" s="1" customFormat="1" ht="24.2" customHeight="1">
      <c r="B243" s="126"/>
      <c r="C243" s="127" t="s">
        <v>505</v>
      </c>
      <c r="D243" s="127" t="s">
        <v>144</v>
      </c>
      <c r="E243" s="128" t="s">
        <v>506</v>
      </c>
      <c r="F243" s="129" t="s">
        <v>507</v>
      </c>
      <c r="G243" s="130" t="s">
        <v>193</v>
      </c>
      <c r="H243" s="131">
        <v>9</v>
      </c>
      <c r="I243" s="132">
        <v>6620</v>
      </c>
      <c r="J243" s="132">
        <f t="shared" si="50"/>
        <v>59580</v>
      </c>
      <c r="K243" s="129" t="s">
        <v>148</v>
      </c>
      <c r="L243" s="27"/>
      <c r="M243" s="133" t="s">
        <v>1</v>
      </c>
      <c r="N243" s="134" t="s">
        <v>39</v>
      </c>
      <c r="O243" s="135">
        <v>3.2</v>
      </c>
      <c r="P243" s="135">
        <f t="shared" si="51"/>
        <v>28.8</v>
      </c>
      <c r="Q243" s="135">
        <v>3.16E-3</v>
      </c>
      <c r="R243" s="135">
        <f t="shared" si="52"/>
        <v>2.844E-2</v>
      </c>
      <c r="S243" s="135">
        <v>6.9000000000000006E-2</v>
      </c>
      <c r="T243" s="136">
        <f t="shared" si="53"/>
        <v>0.621</v>
      </c>
      <c r="AR243" s="137" t="s">
        <v>149</v>
      </c>
      <c r="AT243" s="137" t="s">
        <v>144</v>
      </c>
      <c r="AU243" s="137" t="s">
        <v>143</v>
      </c>
      <c r="AY243" s="15" t="s">
        <v>141</v>
      </c>
      <c r="BE243" s="138">
        <f t="shared" si="54"/>
        <v>0</v>
      </c>
      <c r="BF243" s="138">
        <f t="shared" si="55"/>
        <v>59580</v>
      </c>
      <c r="BG243" s="138">
        <f t="shared" si="56"/>
        <v>0</v>
      </c>
      <c r="BH243" s="138">
        <f t="shared" si="57"/>
        <v>0</v>
      </c>
      <c r="BI243" s="138">
        <f t="shared" si="58"/>
        <v>0</v>
      </c>
      <c r="BJ243" s="15" t="s">
        <v>143</v>
      </c>
      <c r="BK243" s="138">
        <f t="shared" si="59"/>
        <v>59580</v>
      </c>
      <c r="BL243" s="15" t="s">
        <v>149</v>
      </c>
      <c r="BM243" s="137" t="s">
        <v>508</v>
      </c>
    </row>
    <row r="244" spans="2:65" s="12" customFormat="1">
      <c r="B244" s="148"/>
      <c r="D244" s="149" t="s">
        <v>363</v>
      </c>
      <c r="E244" s="154" t="s">
        <v>1</v>
      </c>
      <c r="F244" s="150" t="s">
        <v>509</v>
      </c>
      <c r="H244" s="151">
        <v>9</v>
      </c>
      <c r="L244" s="148"/>
      <c r="M244" s="152"/>
      <c r="T244" s="153"/>
      <c r="AT244" s="154" t="s">
        <v>363</v>
      </c>
      <c r="AU244" s="154" t="s">
        <v>143</v>
      </c>
      <c r="AV244" s="12" t="s">
        <v>143</v>
      </c>
      <c r="AW244" s="12" t="s">
        <v>29</v>
      </c>
      <c r="AX244" s="12" t="s">
        <v>81</v>
      </c>
      <c r="AY244" s="154" t="s">
        <v>141</v>
      </c>
    </row>
    <row r="245" spans="2:65" s="11" customFormat="1" ht="22.9" customHeight="1">
      <c r="B245" s="115"/>
      <c r="D245" s="116" t="s">
        <v>72</v>
      </c>
      <c r="E245" s="124" t="s">
        <v>510</v>
      </c>
      <c r="F245" s="124" t="s">
        <v>511</v>
      </c>
      <c r="J245" s="125">
        <f>BK245</f>
        <v>1111751.3799999999</v>
      </c>
      <c r="L245" s="115"/>
      <c r="M245" s="119"/>
      <c r="P245" s="120">
        <f>P246</f>
        <v>1039.8145260000001</v>
      </c>
      <c r="R245" s="120">
        <f>R246</f>
        <v>0</v>
      </c>
      <c r="T245" s="121">
        <f>T246</f>
        <v>0</v>
      </c>
      <c r="AR245" s="116" t="s">
        <v>81</v>
      </c>
      <c r="AT245" s="122" t="s">
        <v>72</v>
      </c>
      <c r="AU245" s="122" t="s">
        <v>81</v>
      </c>
      <c r="AY245" s="116" t="s">
        <v>141</v>
      </c>
      <c r="BK245" s="123">
        <f>BK246</f>
        <v>1111751.3799999999</v>
      </c>
    </row>
    <row r="246" spans="2:65" s="1" customFormat="1" ht="16.5" customHeight="1">
      <c r="B246" s="126"/>
      <c r="C246" s="127" t="s">
        <v>512</v>
      </c>
      <c r="D246" s="127" t="s">
        <v>144</v>
      </c>
      <c r="E246" s="128" t="s">
        <v>513</v>
      </c>
      <c r="F246" s="129" t="s">
        <v>514</v>
      </c>
      <c r="G246" s="130" t="s">
        <v>179</v>
      </c>
      <c r="H246" s="131">
        <v>3269.857</v>
      </c>
      <c r="I246" s="132">
        <v>340</v>
      </c>
      <c r="J246" s="132">
        <f>ROUND(I246*H246,2)</f>
        <v>1111751.3799999999</v>
      </c>
      <c r="K246" s="129" t="s">
        <v>148</v>
      </c>
      <c r="L246" s="27"/>
      <c r="M246" s="133" t="s">
        <v>1</v>
      </c>
      <c r="N246" s="134" t="s">
        <v>39</v>
      </c>
      <c r="O246" s="135">
        <v>0.318</v>
      </c>
      <c r="P246" s="135">
        <f>O246*H246</f>
        <v>1039.8145260000001</v>
      </c>
      <c r="Q246" s="135">
        <v>0</v>
      </c>
      <c r="R246" s="135">
        <f>Q246*H246</f>
        <v>0</v>
      </c>
      <c r="S246" s="135">
        <v>0</v>
      </c>
      <c r="T246" s="136">
        <f>S246*H246</f>
        <v>0</v>
      </c>
      <c r="AR246" s="137" t="s">
        <v>149</v>
      </c>
      <c r="AT246" s="137" t="s">
        <v>144</v>
      </c>
      <c r="AU246" s="137" t="s">
        <v>143</v>
      </c>
      <c r="AY246" s="15" t="s">
        <v>141</v>
      </c>
      <c r="BE246" s="138">
        <f>IF(N246="základní",J246,0)</f>
        <v>0</v>
      </c>
      <c r="BF246" s="138">
        <f>IF(N246="snížená",J246,0)</f>
        <v>1111751.3799999999</v>
      </c>
      <c r="BG246" s="138">
        <f>IF(N246="zákl. přenesená",J246,0)</f>
        <v>0</v>
      </c>
      <c r="BH246" s="138">
        <f>IF(N246="sníž. přenesená",J246,0)</f>
        <v>0</v>
      </c>
      <c r="BI246" s="138">
        <f>IF(N246="nulová",J246,0)</f>
        <v>0</v>
      </c>
      <c r="BJ246" s="15" t="s">
        <v>143</v>
      </c>
      <c r="BK246" s="138">
        <f>ROUND(I246*H246,2)</f>
        <v>1111751.3799999999</v>
      </c>
      <c r="BL246" s="15" t="s">
        <v>149</v>
      </c>
      <c r="BM246" s="137" t="s">
        <v>515</v>
      </c>
    </row>
    <row r="247" spans="2:65" s="11" customFormat="1" ht="25.9" customHeight="1">
      <c r="B247" s="115"/>
      <c r="D247" s="116" t="s">
        <v>72</v>
      </c>
      <c r="E247" s="117" t="s">
        <v>516</v>
      </c>
      <c r="F247" s="117" t="s">
        <v>517</v>
      </c>
      <c r="J247" s="118">
        <f>BK247</f>
        <v>32495279.399999995</v>
      </c>
      <c r="L247" s="115"/>
      <c r="M247" s="119"/>
      <c r="P247" s="120">
        <f>P248+P264+P284+P317+P325+P328+P330+P333+P350+P356+P370+P383+P403+P410+P421+P428</f>
        <v>6407.1446420000011</v>
      </c>
      <c r="R247" s="120">
        <f>R248+R264+R284+R317+R325+R328+R330+R333+R350+R356+R370+R383+R403+R410+R421+R428</f>
        <v>141.39759891999998</v>
      </c>
      <c r="T247" s="121">
        <f>T248+T264+T284+T317+T325+T328+T330+T333+T350+T356+T370+T383+T403+T410+T421+T428</f>
        <v>0</v>
      </c>
      <c r="AR247" s="116" t="s">
        <v>143</v>
      </c>
      <c r="AT247" s="122" t="s">
        <v>72</v>
      </c>
      <c r="AU247" s="122" t="s">
        <v>73</v>
      </c>
      <c r="AY247" s="116" t="s">
        <v>141</v>
      </c>
      <c r="BK247" s="123">
        <f>BK248+BK264+BK284+BK317+BK325+BK328+BK330+BK333+BK350+BK356+BK370+BK383+BK403+BK410+BK421+BK428</f>
        <v>32495279.399999995</v>
      </c>
    </row>
    <row r="248" spans="2:65" s="11" customFormat="1" ht="22.9" customHeight="1">
      <c r="B248" s="115"/>
      <c r="D248" s="116" t="s">
        <v>72</v>
      </c>
      <c r="E248" s="124" t="s">
        <v>518</v>
      </c>
      <c r="F248" s="124" t="s">
        <v>519</v>
      </c>
      <c r="J248" s="125">
        <f>BK248</f>
        <v>766734.01</v>
      </c>
      <c r="L248" s="115"/>
      <c r="M248" s="119"/>
      <c r="P248" s="120">
        <f>SUM(P249:P263)</f>
        <v>760.67330000000004</v>
      </c>
      <c r="R248" s="120">
        <f>SUM(R249:R263)</f>
        <v>11.7515562</v>
      </c>
      <c r="T248" s="121">
        <f>SUM(T249:T263)</f>
        <v>0</v>
      </c>
      <c r="AR248" s="116" t="s">
        <v>143</v>
      </c>
      <c r="AT248" s="122" t="s">
        <v>72</v>
      </c>
      <c r="AU248" s="122" t="s">
        <v>81</v>
      </c>
      <c r="AY248" s="116" t="s">
        <v>141</v>
      </c>
      <c r="BK248" s="123">
        <f>SUM(BK249:BK263)</f>
        <v>766734.01</v>
      </c>
    </row>
    <row r="249" spans="2:65" s="1" customFormat="1" ht="24.2" customHeight="1">
      <c r="B249" s="126"/>
      <c r="C249" s="127" t="s">
        <v>520</v>
      </c>
      <c r="D249" s="127" t="s">
        <v>144</v>
      </c>
      <c r="E249" s="128" t="s">
        <v>521</v>
      </c>
      <c r="F249" s="129" t="s">
        <v>522</v>
      </c>
      <c r="G249" s="130" t="s">
        <v>157</v>
      </c>
      <c r="H249" s="131">
        <v>1551.2639999999999</v>
      </c>
      <c r="I249" s="132">
        <v>11.2</v>
      </c>
      <c r="J249" s="132">
        <f>ROUND(I249*H249,2)</f>
        <v>17374.16</v>
      </c>
      <c r="K249" s="129" t="s">
        <v>148</v>
      </c>
      <c r="L249" s="27"/>
      <c r="M249" s="133" t="s">
        <v>1</v>
      </c>
      <c r="N249" s="134" t="s">
        <v>39</v>
      </c>
      <c r="O249" s="135">
        <v>2.4E-2</v>
      </c>
      <c r="P249" s="135">
        <f>O249*H249</f>
        <v>37.230336000000001</v>
      </c>
      <c r="Q249" s="135">
        <v>0</v>
      </c>
      <c r="R249" s="135">
        <f>Q249*H249</f>
        <v>0</v>
      </c>
      <c r="S249" s="135">
        <v>0</v>
      </c>
      <c r="T249" s="136">
        <f>S249*H249</f>
        <v>0</v>
      </c>
      <c r="AR249" s="137" t="s">
        <v>206</v>
      </c>
      <c r="AT249" s="137" t="s">
        <v>144</v>
      </c>
      <c r="AU249" s="137" t="s">
        <v>143</v>
      </c>
      <c r="AY249" s="15" t="s">
        <v>141</v>
      </c>
      <c r="BE249" s="138">
        <f>IF(N249="základní",J249,0)</f>
        <v>0</v>
      </c>
      <c r="BF249" s="138">
        <f>IF(N249="snížená",J249,0)</f>
        <v>17374.16</v>
      </c>
      <c r="BG249" s="138">
        <f>IF(N249="zákl. přenesená",J249,0)</f>
        <v>0</v>
      </c>
      <c r="BH249" s="138">
        <f>IF(N249="sníž. přenesená",J249,0)</f>
        <v>0</v>
      </c>
      <c r="BI249" s="138">
        <f>IF(N249="nulová",J249,0)</f>
        <v>0</v>
      </c>
      <c r="BJ249" s="15" t="s">
        <v>143</v>
      </c>
      <c r="BK249" s="138">
        <f>ROUND(I249*H249,2)</f>
        <v>17374.16</v>
      </c>
      <c r="BL249" s="15" t="s">
        <v>206</v>
      </c>
      <c r="BM249" s="137" t="s">
        <v>523</v>
      </c>
    </row>
    <row r="250" spans="2:65" s="1" customFormat="1" ht="16.5" customHeight="1">
      <c r="B250" s="126"/>
      <c r="C250" s="139" t="s">
        <v>524</v>
      </c>
      <c r="D250" s="139" t="s">
        <v>207</v>
      </c>
      <c r="E250" s="140" t="s">
        <v>525</v>
      </c>
      <c r="F250" s="141" t="s">
        <v>526</v>
      </c>
      <c r="G250" s="142" t="s">
        <v>179</v>
      </c>
      <c r="H250" s="143">
        <v>0.51200000000000001</v>
      </c>
      <c r="I250" s="144">
        <v>51800</v>
      </c>
      <c r="J250" s="144">
        <f>ROUND(I250*H250,2)</f>
        <v>26521.599999999999</v>
      </c>
      <c r="K250" s="141" t="s">
        <v>148</v>
      </c>
      <c r="L250" s="145"/>
      <c r="M250" s="146" t="s">
        <v>1</v>
      </c>
      <c r="N250" s="147" t="s">
        <v>39</v>
      </c>
      <c r="O250" s="135">
        <v>0</v>
      </c>
      <c r="P250" s="135">
        <f>O250*H250</f>
        <v>0</v>
      </c>
      <c r="Q250" s="135">
        <v>1</v>
      </c>
      <c r="R250" s="135">
        <f>Q250*H250</f>
        <v>0.51200000000000001</v>
      </c>
      <c r="S250" s="135">
        <v>0</v>
      </c>
      <c r="T250" s="136">
        <f>S250*H250</f>
        <v>0</v>
      </c>
      <c r="AR250" s="137" t="s">
        <v>274</v>
      </c>
      <c r="AT250" s="137" t="s">
        <v>207</v>
      </c>
      <c r="AU250" s="137" t="s">
        <v>143</v>
      </c>
      <c r="AY250" s="15" t="s">
        <v>141</v>
      </c>
      <c r="BE250" s="138">
        <f>IF(N250="základní",J250,0)</f>
        <v>0</v>
      </c>
      <c r="BF250" s="138">
        <f>IF(N250="snížená",J250,0)</f>
        <v>26521.599999999999</v>
      </c>
      <c r="BG250" s="138">
        <f>IF(N250="zákl. přenesená",J250,0)</f>
        <v>0</v>
      </c>
      <c r="BH250" s="138">
        <f>IF(N250="sníž. přenesená",J250,0)</f>
        <v>0</v>
      </c>
      <c r="BI250" s="138">
        <f>IF(N250="nulová",J250,0)</f>
        <v>0</v>
      </c>
      <c r="BJ250" s="15" t="s">
        <v>143</v>
      </c>
      <c r="BK250" s="138">
        <f>ROUND(I250*H250,2)</f>
        <v>26521.599999999999</v>
      </c>
      <c r="BL250" s="15" t="s">
        <v>206</v>
      </c>
      <c r="BM250" s="137" t="s">
        <v>527</v>
      </c>
    </row>
    <row r="251" spans="2:65" s="12" customFormat="1">
      <c r="B251" s="148"/>
      <c r="D251" s="149" t="s">
        <v>363</v>
      </c>
      <c r="F251" s="150" t="s">
        <v>528</v>
      </c>
      <c r="H251" s="151">
        <v>0.51200000000000001</v>
      </c>
      <c r="L251" s="148"/>
      <c r="M251" s="152"/>
      <c r="T251" s="153"/>
      <c r="AT251" s="154" t="s">
        <v>363</v>
      </c>
      <c r="AU251" s="154" t="s">
        <v>143</v>
      </c>
      <c r="AV251" s="12" t="s">
        <v>143</v>
      </c>
      <c r="AW251" s="12" t="s">
        <v>3</v>
      </c>
      <c r="AX251" s="12" t="s">
        <v>81</v>
      </c>
      <c r="AY251" s="154" t="s">
        <v>141</v>
      </c>
    </row>
    <row r="252" spans="2:65" s="1" customFormat="1" ht="24.2" customHeight="1">
      <c r="B252" s="126"/>
      <c r="C252" s="127" t="s">
        <v>529</v>
      </c>
      <c r="D252" s="127" t="s">
        <v>144</v>
      </c>
      <c r="E252" s="128" t="s">
        <v>530</v>
      </c>
      <c r="F252" s="129" t="s">
        <v>531</v>
      </c>
      <c r="G252" s="130" t="s">
        <v>157</v>
      </c>
      <c r="H252" s="131">
        <v>132.09</v>
      </c>
      <c r="I252" s="132">
        <v>24.4</v>
      </c>
      <c r="J252" s="132">
        <f>ROUND(I252*H252,2)</f>
        <v>3223</v>
      </c>
      <c r="K252" s="129" t="s">
        <v>148</v>
      </c>
      <c r="L252" s="27"/>
      <c r="M252" s="133" t="s">
        <v>1</v>
      </c>
      <c r="N252" s="134" t="s">
        <v>39</v>
      </c>
      <c r="O252" s="135">
        <v>5.3999999999999999E-2</v>
      </c>
      <c r="P252" s="135">
        <f>O252*H252</f>
        <v>7.13286</v>
      </c>
      <c r="Q252" s="135">
        <v>0</v>
      </c>
      <c r="R252" s="135">
        <f>Q252*H252</f>
        <v>0</v>
      </c>
      <c r="S252" s="135">
        <v>0</v>
      </c>
      <c r="T252" s="136">
        <f>S252*H252</f>
        <v>0</v>
      </c>
      <c r="AR252" s="137" t="s">
        <v>206</v>
      </c>
      <c r="AT252" s="137" t="s">
        <v>144</v>
      </c>
      <c r="AU252" s="137" t="s">
        <v>143</v>
      </c>
      <c r="AY252" s="15" t="s">
        <v>141</v>
      </c>
      <c r="BE252" s="138">
        <f>IF(N252="základní",J252,0)</f>
        <v>0</v>
      </c>
      <c r="BF252" s="138">
        <f>IF(N252="snížená",J252,0)</f>
        <v>3223</v>
      </c>
      <c r="BG252" s="138">
        <f>IF(N252="zákl. přenesená",J252,0)</f>
        <v>0</v>
      </c>
      <c r="BH252" s="138">
        <f>IF(N252="sníž. přenesená",J252,0)</f>
        <v>0</v>
      </c>
      <c r="BI252" s="138">
        <f>IF(N252="nulová",J252,0)</f>
        <v>0</v>
      </c>
      <c r="BJ252" s="15" t="s">
        <v>143</v>
      </c>
      <c r="BK252" s="138">
        <f>ROUND(I252*H252,2)</f>
        <v>3223</v>
      </c>
      <c r="BL252" s="15" t="s">
        <v>206</v>
      </c>
      <c r="BM252" s="137" t="s">
        <v>532</v>
      </c>
    </row>
    <row r="253" spans="2:65" s="1" customFormat="1" ht="16.5" customHeight="1">
      <c r="B253" s="126"/>
      <c r="C253" s="139" t="s">
        <v>533</v>
      </c>
      <c r="D253" s="139" t="s">
        <v>207</v>
      </c>
      <c r="E253" s="140" t="s">
        <v>525</v>
      </c>
      <c r="F253" s="141" t="s">
        <v>526</v>
      </c>
      <c r="G253" s="142" t="s">
        <v>179</v>
      </c>
      <c r="H253" s="143">
        <v>4.4999999999999998E-2</v>
      </c>
      <c r="I253" s="144">
        <v>51800</v>
      </c>
      <c r="J253" s="144">
        <f>ROUND(I253*H253,2)</f>
        <v>2331</v>
      </c>
      <c r="K253" s="141" t="s">
        <v>148</v>
      </c>
      <c r="L253" s="145"/>
      <c r="M253" s="146" t="s">
        <v>1</v>
      </c>
      <c r="N253" s="147" t="s">
        <v>39</v>
      </c>
      <c r="O253" s="135">
        <v>0</v>
      </c>
      <c r="P253" s="135">
        <f>O253*H253</f>
        <v>0</v>
      </c>
      <c r="Q253" s="135">
        <v>1</v>
      </c>
      <c r="R253" s="135">
        <f>Q253*H253</f>
        <v>4.4999999999999998E-2</v>
      </c>
      <c r="S253" s="135">
        <v>0</v>
      </c>
      <c r="T253" s="136">
        <f>S253*H253</f>
        <v>0</v>
      </c>
      <c r="AR253" s="137" t="s">
        <v>274</v>
      </c>
      <c r="AT253" s="137" t="s">
        <v>207</v>
      </c>
      <c r="AU253" s="137" t="s">
        <v>143</v>
      </c>
      <c r="AY253" s="15" t="s">
        <v>141</v>
      </c>
      <c r="BE253" s="138">
        <f>IF(N253="základní",J253,0)</f>
        <v>0</v>
      </c>
      <c r="BF253" s="138">
        <f>IF(N253="snížená",J253,0)</f>
        <v>2331</v>
      </c>
      <c r="BG253" s="138">
        <f>IF(N253="zákl. přenesená",J253,0)</f>
        <v>0</v>
      </c>
      <c r="BH253" s="138">
        <f>IF(N253="sníž. přenesená",J253,0)</f>
        <v>0</v>
      </c>
      <c r="BI253" s="138">
        <f>IF(N253="nulová",J253,0)</f>
        <v>0</v>
      </c>
      <c r="BJ253" s="15" t="s">
        <v>143</v>
      </c>
      <c r="BK253" s="138">
        <f>ROUND(I253*H253,2)</f>
        <v>2331</v>
      </c>
      <c r="BL253" s="15" t="s">
        <v>206</v>
      </c>
      <c r="BM253" s="137" t="s">
        <v>534</v>
      </c>
    </row>
    <row r="254" spans="2:65" s="12" customFormat="1">
      <c r="B254" s="148"/>
      <c r="D254" s="149" t="s">
        <v>363</v>
      </c>
      <c r="F254" s="150" t="s">
        <v>535</v>
      </c>
      <c r="H254" s="151">
        <v>4.4999999999999998E-2</v>
      </c>
      <c r="L254" s="148"/>
      <c r="M254" s="152"/>
      <c r="T254" s="153"/>
      <c r="AT254" s="154" t="s">
        <v>363</v>
      </c>
      <c r="AU254" s="154" t="s">
        <v>143</v>
      </c>
      <c r="AV254" s="12" t="s">
        <v>143</v>
      </c>
      <c r="AW254" s="12" t="s">
        <v>3</v>
      </c>
      <c r="AX254" s="12" t="s">
        <v>81</v>
      </c>
      <c r="AY254" s="154" t="s">
        <v>141</v>
      </c>
    </row>
    <row r="255" spans="2:65" s="1" customFormat="1" ht="24.2" customHeight="1">
      <c r="B255" s="126"/>
      <c r="C255" s="127" t="s">
        <v>536</v>
      </c>
      <c r="D255" s="127" t="s">
        <v>144</v>
      </c>
      <c r="E255" s="128" t="s">
        <v>537</v>
      </c>
      <c r="F255" s="129" t="s">
        <v>538</v>
      </c>
      <c r="G255" s="130" t="s">
        <v>157</v>
      </c>
      <c r="H255" s="131">
        <v>1551.2639999999999</v>
      </c>
      <c r="I255" s="132">
        <v>113</v>
      </c>
      <c r="J255" s="132">
        <f>ROUND(I255*H255,2)</f>
        <v>175292.83</v>
      </c>
      <c r="K255" s="129" t="s">
        <v>148</v>
      </c>
      <c r="L255" s="27"/>
      <c r="M255" s="133" t="s">
        <v>1</v>
      </c>
      <c r="N255" s="134" t="s">
        <v>39</v>
      </c>
      <c r="O255" s="135">
        <v>0.222</v>
      </c>
      <c r="P255" s="135">
        <f>O255*H255</f>
        <v>344.380608</v>
      </c>
      <c r="Q255" s="135">
        <v>4.0000000000000002E-4</v>
      </c>
      <c r="R255" s="135">
        <f>Q255*H255</f>
        <v>0.62050559999999999</v>
      </c>
      <c r="S255" s="135">
        <v>0</v>
      </c>
      <c r="T255" s="136">
        <f>S255*H255</f>
        <v>0</v>
      </c>
      <c r="AR255" s="137" t="s">
        <v>206</v>
      </c>
      <c r="AT255" s="137" t="s">
        <v>144</v>
      </c>
      <c r="AU255" s="137" t="s">
        <v>143</v>
      </c>
      <c r="AY255" s="15" t="s">
        <v>141</v>
      </c>
      <c r="BE255" s="138">
        <f>IF(N255="základní",J255,0)</f>
        <v>0</v>
      </c>
      <c r="BF255" s="138">
        <f>IF(N255="snížená",J255,0)</f>
        <v>175292.83</v>
      </c>
      <c r="BG255" s="138">
        <f>IF(N255="zákl. přenesená",J255,0)</f>
        <v>0</v>
      </c>
      <c r="BH255" s="138">
        <f>IF(N255="sníž. přenesená",J255,0)</f>
        <v>0</v>
      </c>
      <c r="BI255" s="138">
        <f>IF(N255="nulová",J255,0)</f>
        <v>0</v>
      </c>
      <c r="BJ255" s="15" t="s">
        <v>143</v>
      </c>
      <c r="BK255" s="138">
        <f>ROUND(I255*H255,2)</f>
        <v>175292.83</v>
      </c>
      <c r="BL255" s="15" t="s">
        <v>206</v>
      </c>
      <c r="BM255" s="137" t="s">
        <v>539</v>
      </c>
    </row>
    <row r="256" spans="2:65" s="1" customFormat="1" ht="24.2" customHeight="1">
      <c r="B256" s="126"/>
      <c r="C256" s="139" t="s">
        <v>540</v>
      </c>
      <c r="D256" s="139" t="s">
        <v>207</v>
      </c>
      <c r="E256" s="140" t="s">
        <v>541</v>
      </c>
      <c r="F256" s="141" t="s">
        <v>542</v>
      </c>
      <c r="G256" s="142" t="s">
        <v>157</v>
      </c>
      <c r="H256" s="143">
        <v>1807.998</v>
      </c>
      <c r="I256" s="144">
        <v>148.41999999999999</v>
      </c>
      <c r="J256" s="144">
        <f>ROUND(I256*H256,2)</f>
        <v>268343.06</v>
      </c>
      <c r="K256" s="141" t="s">
        <v>1</v>
      </c>
      <c r="L256" s="145"/>
      <c r="M256" s="146" t="s">
        <v>1</v>
      </c>
      <c r="N256" s="147" t="s">
        <v>39</v>
      </c>
      <c r="O256" s="135">
        <v>0</v>
      </c>
      <c r="P256" s="135">
        <f>O256*H256</f>
        <v>0</v>
      </c>
      <c r="Q256" s="135">
        <v>5.4000000000000003E-3</v>
      </c>
      <c r="R256" s="135">
        <f>Q256*H256</f>
        <v>9.7631892000000011</v>
      </c>
      <c r="S256" s="135">
        <v>0</v>
      </c>
      <c r="T256" s="136">
        <f>S256*H256</f>
        <v>0</v>
      </c>
      <c r="AR256" s="137" t="s">
        <v>274</v>
      </c>
      <c r="AT256" s="137" t="s">
        <v>207</v>
      </c>
      <c r="AU256" s="137" t="s">
        <v>143</v>
      </c>
      <c r="AY256" s="15" t="s">
        <v>141</v>
      </c>
      <c r="BE256" s="138">
        <f>IF(N256="základní",J256,0)</f>
        <v>0</v>
      </c>
      <c r="BF256" s="138">
        <f>IF(N256="snížená",J256,0)</f>
        <v>268343.06</v>
      </c>
      <c r="BG256" s="138">
        <f>IF(N256="zákl. přenesená",J256,0)</f>
        <v>0</v>
      </c>
      <c r="BH256" s="138">
        <f>IF(N256="sníž. přenesená",J256,0)</f>
        <v>0</v>
      </c>
      <c r="BI256" s="138">
        <f>IF(N256="nulová",J256,0)</f>
        <v>0</v>
      </c>
      <c r="BJ256" s="15" t="s">
        <v>143</v>
      </c>
      <c r="BK256" s="138">
        <f>ROUND(I256*H256,2)</f>
        <v>268343.06</v>
      </c>
      <c r="BL256" s="15" t="s">
        <v>206</v>
      </c>
      <c r="BM256" s="137" t="s">
        <v>543</v>
      </c>
    </row>
    <row r="257" spans="2:65" s="12" customFormat="1">
      <c r="B257" s="148"/>
      <c r="D257" s="149" t="s">
        <v>363</v>
      </c>
      <c r="F257" s="150" t="s">
        <v>544</v>
      </c>
      <c r="H257" s="151">
        <v>1807.998</v>
      </c>
      <c r="L257" s="148"/>
      <c r="M257" s="152"/>
      <c r="T257" s="153"/>
      <c r="AT257" s="154" t="s">
        <v>363</v>
      </c>
      <c r="AU257" s="154" t="s">
        <v>143</v>
      </c>
      <c r="AV257" s="12" t="s">
        <v>143</v>
      </c>
      <c r="AW257" s="12" t="s">
        <v>3</v>
      </c>
      <c r="AX257" s="12" t="s">
        <v>81</v>
      </c>
      <c r="AY257" s="154" t="s">
        <v>141</v>
      </c>
    </row>
    <row r="258" spans="2:65" s="1" customFormat="1" ht="24.2" customHeight="1">
      <c r="B258" s="126"/>
      <c r="C258" s="127" t="s">
        <v>545</v>
      </c>
      <c r="D258" s="127" t="s">
        <v>144</v>
      </c>
      <c r="E258" s="128" t="s">
        <v>546</v>
      </c>
      <c r="F258" s="129" t="s">
        <v>547</v>
      </c>
      <c r="G258" s="130" t="s">
        <v>157</v>
      </c>
      <c r="H258" s="131">
        <v>132.09</v>
      </c>
      <c r="I258" s="132">
        <v>130</v>
      </c>
      <c r="J258" s="132">
        <f>ROUND(I258*H258,2)</f>
        <v>17171.7</v>
      </c>
      <c r="K258" s="129" t="s">
        <v>148</v>
      </c>
      <c r="L258" s="27"/>
      <c r="M258" s="133" t="s">
        <v>1</v>
      </c>
      <c r="N258" s="134" t="s">
        <v>39</v>
      </c>
      <c r="O258" s="135">
        <v>0.26</v>
      </c>
      <c r="P258" s="135">
        <f>O258*H258</f>
        <v>34.343400000000003</v>
      </c>
      <c r="Q258" s="135">
        <v>4.0000000000000002E-4</v>
      </c>
      <c r="R258" s="135">
        <f>Q258*H258</f>
        <v>5.2836000000000001E-2</v>
      </c>
      <c r="S258" s="135">
        <v>0</v>
      </c>
      <c r="T258" s="136">
        <f>S258*H258</f>
        <v>0</v>
      </c>
      <c r="AR258" s="137" t="s">
        <v>206</v>
      </c>
      <c r="AT258" s="137" t="s">
        <v>144</v>
      </c>
      <c r="AU258" s="137" t="s">
        <v>143</v>
      </c>
      <c r="AY258" s="15" t="s">
        <v>141</v>
      </c>
      <c r="BE258" s="138">
        <f>IF(N258="základní",J258,0)</f>
        <v>0</v>
      </c>
      <c r="BF258" s="138">
        <f>IF(N258="snížená",J258,0)</f>
        <v>17171.7</v>
      </c>
      <c r="BG258" s="138">
        <f>IF(N258="zákl. přenesená",J258,0)</f>
        <v>0</v>
      </c>
      <c r="BH258" s="138">
        <f>IF(N258="sníž. přenesená",J258,0)</f>
        <v>0</v>
      </c>
      <c r="BI258" s="138">
        <f>IF(N258="nulová",J258,0)</f>
        <v>0</v>
      </c>
      <c r="BJ258" s="15" t="s">
        <v>143</v>
      </c>
      <c r="BK258" s="138">
        <f>ROUND(I258*H258,2)</f>
        <v>17171.7</v>
      </c>
      <c r="BL258" s="15" t="s">
        <v>206</v>
      </c>
      <c r="BM258" s="137" t="s">
        <v>548</v>
      </c>
    </row>
    <row r="259" spans="2:65" s="1" customFormat="1" ht="24.2" customHeight="1">
      <c r="B259" s="126"/>
      <c r="C259" s="139" t="s">
        <v>549</v>
      </c>
      <c r="D259" s="139" t="s">
        <v>207</v>
      </c>
      <c r="E259" s="140" t="s">
        <v>550</v>
      </c>
      <c r="F259" s="141" t="s">
        <v>551</v>
      </c>
      <c r="G259" s="142" t="s">
        <v>157</v>
      </c>
      <c r="H259" s="143">
        <v>161.28200000000001</v>
      </c>
      <c r="I259" s="144">
        <v>145.38</v>
      </c>
      <c r="J259" s="144">
        <f>ROUND(I259*H259,2)</f>
        <v>23447.18</v>
      </c>
      <c r="K259" s="141" t="s">
        <v>1</v>
      </c>
      <c r="L259" s="145"/>
      <c r="M259" s="146" t="s">
        <v>1</v>
      </c>
      <c r="N259" s="147" t="s">
        <v>39</v>
      </c>
      <c r="O259" s="135">
        <v>0</v>
      </c>
      <c r="P259" s="135">
        <f>O259*H259</f>
        <v>0</v>
      </c>
      <c r="Q259" s="135">
        <v>4.7000000000000002E-3</v>
      </c>
      <c r="R259" s="135">
        <f>Q259*H259</f>
        <v>0.75802540000000007</v>
      </c>
      <c r="S259" s="135">
        <v>0</v>
      </c>
      <c r="T259" s="136">
        <f>S259*H259</f>
        <v>0</v>
      </c>
      <c r="AR259" s="137" t="s">
        <v>274</v>
      </c>
      <c r="AT259" s="137" t="s">
        <v>207</v>
      </c>
      <c r="AU259" s="137" t="s">
        <v>143</v>
      </c>
      <c r="AY259" s="15" t="s">
        <v>141</v>
      </c>
      <c r="BE259" s="138">
        <f>IF(N259="základní",J259,0)</f>
        <v>0</v>
      </c>
      <c r="BF259" s="138">
        <f>IF(N259="snížená",J259,0)</f>
        <v>23447.18</v>
      </c>
      <c r="BG259" s="138">
        <f>IF(N259="zákl. přenesená",J259,0)</f>
        <v>0</v>
      </c>
      <c r="BH259" s="138">
        <f>IF(N259="sníž. přenesená",J259,0)</f>
        <v>0</v>
      </c>
      <c r="BI259" s="138">
        <f>IF(N259="nulová",J259,0)</f>
        <v>0</v>
      </c>
      <c r="BJ259" s="15" t="s">
        <v>143</v>
      </c>
      <c r="BK259" s="138">
        <f>ROUND(I259*H259,2)</f>
        <v>23447.18</v>
      </c>
      <c r="BL259" s="15" t="s">
        <v>206</v>
      </c>
      <c r="BM259" s="137" t="s">
        <v>552</v>
      </c>
    </row>
    <row r="260" spans="2:65" s="12" customFormat="1">
      <c r="B260" s="148"/>
      <c r="D260" s="149" t="s">
        <v>363</v>
      </c>
      <c r="F260" s="150" t="s">
        <v>553</v>
      </c>
      <c r="H260" s="151">
        <v>161.28200000000001</v>
      </c>
      <c r="L260" s="148"/>
      <c r="M260" s="152"/>
      <c r="T260" s="153"/>
      <c r="AT260" s="154" t="s">
        <v>363</v>
      </c>
      <c r="AU260" s="154" t="s">
        <v>143</v>
      </c>
      <c r="AV260" s="12" t="s">
        <v>143</v>
      </c>
      <c r="AW260" s="12" t="s">
        <v>3</v>
      </c>
      <c r="AX260" s="12" t="s">
        <v>81</v>
      </c>
      <c r="AY260" s="154" t="s">
        <v>141</v>
      </c>
    </row>
    <row r="261" spans="2:65" s="1" customFormat="1" ht="33" customHeight="1">
      <c r="B261" s="126"/>
      <c r="C261" s="127" t="s">
        <v>554</v>
      </c>
      <c r="D261" s="127" t="s">
        <v>144</v>
      </c>
      <c r="E261" s="128" t="s">
        <v>555</v>
      </c>
      <c r="F261" s="129" t="s">
        <v>556</v>
      </c>
      <c r="G261" s="130" t="s">
        <v>157</v>
      </c>
      <c r="H261" s="131">
        <v>154.404</v>
      </c>
      <c r="I261" s="132">
        <v>360</v>
      </c>
      <c r="J261" s="132">
        <f>ROUND(I261*H261,2)</f>
        <v>55585.440000000002</v>
      </c>
      <c r="K261" s="129" t="s">
        <v>1</v>
      </c>
      <c r="L261" s="27"/>
      <c r="M261" s="133" t="s">
        <v>1</v>
      </c>
      <c r="N261" s="134" t="s">
        <v>39</v>
      </c>
      <c r="O261" s="135">
        <v>0.5</v>
      </c>
      <c r="P261" s="135">
        <f>O261*H261</f>
        <v>77.201999999999998</v>
      </c>
      <c r="Q261" s="135">
        <v>0</v>
      </c>
      <c r="R261" s="135">
        <f>Q261*H261</f>
        <v>0</v>
      </c>
      <c r="S261" s="135">
        <v>0</v>
      </c>
      <c r="T261" s="136">
        <f>S261*H261</f>
        <v>0</v>
      </c>
      <c r="AR261" s="137" t="s">
        <v>206</v>
      </c>
      <c r="AT261" s="137" t="s">
        <v>144</v>
      </c>
      <c r="AU261" s="137" t="s">
        <v>143</v>
      </c>
      <c r="AY261" s="15" t="s">
        <v>141</v>
      </c>
      <c r="BE261" s="138">
        <f>IF(N261="základní",J261,0)</f>
        <v>0</v>
      </c>
      <c r="BF261" s="138">
        <f>IF(N261="snížená",J261,0)</f>
        <v>55585.440000000002</v>
      </c>
      <c r="BG261" s="138">
        <f>IF(N261="zákl. přenesená",J261,0)</f>
        <v>0</v>
      </c>
      <c r="BH261" s="138">
        <f>IF(N261="sníž. přenesená",J261,0)</f>
        <v>0</v>
      </c>
      <c r="BI261" s="138">
        <f>IF(N261="nulová",J261,0)</f>
        <v>0</v>
      </c>
      <c r="BJ261" s="15" t="s">
        <v>143</v>
      </c>
      <c r="BK261" s="138">
        <f>ROUND(I261*H261,2)</f>
        <v>55585.440000000002</v>
      </c>
      <c r="BL261" s="15" t="s">
        <v>206</v>
      </c>
      <c r="BM261" s="137" t="s">
        <v>557</v>
      </c>
    </row>
    <row r="262" spans="2:65" s="1" customFormat="1" ht="33" customHeight="1">
      <c r="B262" s="126"/>
      <c r="C262" s="127" t="s">
        <v>558</v>
      </c>
      <c r="D262" s="127" t="s">
        <v>144</v>
      </c>
      <c r="E262" s="128" t="s">
        <v>559</v>
      </c>
      <c r="F262" s="129" t="s">
        <v>560</v>
      </c>
      <c r="G262" s="130" t="s">
        <v>157</v>
      </c>
      <c r="H262" s="131">
        <v>365.70800000000003</v>
      </c>
      <c r="I262" s="132">
        <v>420</v>
      </c>
      <c r="J262" s="132">
        <f>ROUND(I262*H262,2)</f>
        <v>153597.35999999999</v>
      </c>
      <c r="K262" s="129" t="s">
        <v>1</v>
      </c>
      <c r="L262" s="27"/>
      <c r="M262" s="133" t="s">
        <v>1</v>
      </c>
      <c r="N262" s="134" t="s">
        <v>39</v>
      </c>
      <c r="O262" s="135">
        <v>0.71199999999999997</v>
      </c>
      <c r="P262" s="135">
        <f>O262*H262</f>
        <v>260.384096</v>
      </c>
      <c r="Q262" s="135">
        <v>0</v>
      </c>
      <c r="R262" s="135">
        <f>Q262*H262</f>
        <v>0</v>
      </c>
      <c r="S262" s="135">
        <v>0</v>
      </c>
      <c r="T262" s="136">
        <f>S262*H262</f>
        <v>0</v>
      </c>
      <c r="AR262" s="137" t="s">
        <v>206</v>
      </c>
      <c r="AT262" s="137" t="s">
        <v>144</v>
      </c>
      <c r="AU262" s="137" t="s">
        <v>143</v>
      </c>
      <c r="AY262" s="15" t="s">
        <v>141</v>
      </c>
      <c r="BE262" s="138">
        <f>IF(N262="základní",J262,0)</f>
        <v>0</v>
      </c>
      <c r="BF262" s="138">
        <f>IF(N262="snížená",J262,0)</f>
        <v>153597.35999999999</v>
      </c>
      <c r="BG262" s="138">
        <f>IF(N262="zákl. přenesená",J262,0)</f>
        <v>0</v>
      </c>
      <c r="BH262" s="138">
        <f>IF(N262="sníž. přenesená",J262,0)</f>
        <v>0</v>
      </c>
      <c r="BI262" s="138">
        <f>IF(N262="nulová",J262,0)</f>
        <v>0</v>
      </c>
      <c r="BJ262" s="15" t="s">
        <v>143</v>
      </c>
      <c r="BK262" s="138">
        <f>ROUND(I262*H262,2)</f>
        <v>153597.35999999999</v>
      </c>
      <c r="BL262" s="15" t="s">
        <v>206</v>
      </c>
      <c r="BM262" s="137" t="s">
        <v>561</v>
      </c>
    </row>
    <row r="263" spans="2:65" s="1" customFormat="1" ht="24.2" customHeight="1">
      <c r="B263" s="126"/>
      <c r="C263" s="127" t="s">
        <v>562</v>
      </c>
      <c r="D263" s="127" t="s">
        <v>144</v>
      </c>
      <c r="E263" s="128" t="s">
        <v>563</v>
      </c>
      <c r="F263" s="129" t="s">
        <v>564</v>
      </c>
      <c r="G263" s="130" t="s">
        <v>565</v>
      </c>
      <c r="H263" s="131">
        <v>7428.8729999999996</v>
      </c>
      <c r="I263" s="132">
        <v>3.21</v>
      </c>
      <c r="J263" s="132">
        <f>ROUND(I263*H263,2)</f>
        <v>23846.68</v>
      </c>
      <c r="K263" s="129" t="s">
        <v>148</v>
      </c>
      <c r="L263" s="27"/>
      <c r="M263" s="133" t="s">
        <v>1</v>
      </c>
      <c r="N263" s="134" t="s">
        <v>39</v>
      </c>
      <c r="O263" s="135">
        <v>0</v>
      </c>
      <c r="P263" s="135">
        <f>O263*H263</f>
        <v>0</v>
      </c>
      <c r="Q263" s="135">
        <v>0</v>
      </c>
      <c r="R263" s="135">
        <f>Q263*H263</f>
        <v>0</v>
      </c>
      <c r="S263" s="135">
        <v>0</v>
      </c>
      <c r="T263" s="136">
        <f>S263*H263</f>
        <v>0</v>
      </c>
      <c r="AR263" s="137" t="s">
        <v>206</v>
      </c>
      <c r="AT263" s="137" t="s">
        <v>144</v>
      </c>
      <c r="AU263" s="137" t="s">
        <v>143</v>
      </c>
      <c r="AY263" s="15" t="s">
        <v>141</v>
      </c>
      <c r="BE263" s="138">
        <f>IF(N263="základní",J263,0)</f>
        <v>0</v>
      </c>
      <c r="BF263" s="138">
        <f>IF(N263="snížená",J263,0)</f>
        <v>23846.68</v>
      </c>
      <c r="BG263" s="138">
        <f>IF(N263="zákl. přenesená",J263,0)</f>
        <v>0</v>
      </c>
      <c r="BH263" s="138">
        <f>IF(N263="sníž. přenesená",J263,0)</f>
        <v>0</v>
      </c>
      <c r="BI263" s="138">
        <f>IF(N263="nulová",J263,0)</f>
        <v>0</v>
      </c>
      <c r="BJ263" s="15" t="s">
        <v>143</v>
      </c>
      <c r="BK263" s="138">
        <f>ROUND(I263*H263,2)</f>
        <v>23846.68</v>
      </c>
      <c r="BL263" s="15" t="s">
        <v>206</v>
      </c>
      <c r="BM263" s="137" t="s">
        <v>566</v>
      </c>
    </row>
    <row r="264" spans="2:65" s="11" customFormat="1" ht="22.9" customHeight="1">
      <c r="B264" s="115"/>
      <c r="D264" s="116" t="s">
        <v>72</v>
      </c>
      <c r="E264" s="124" t="s">
        <v>567</v>
      </c>
      <c r="F264" s="124" t="s">
        <v>568</v>
      </c>
      <c r="J264" s="125">
        <f>BK264</f>
        <v>173330.16</v>
      </c>
      <c r="L264" s="115"/>
      <c r="M264" s="119"/>
      <c r="P264" s="120">
        <f>SUM(P265:P283)</f>
        <v>76.81163699999999</v>
      </c>
      <c r="R264" s="120">
        <f>SUM(R265:R283)</f>
        <v>36.559939119999996</v>
      </c>
      <c r="T264" s="121">
        <f>SUM(T265:T283)</f>
        <v>0</v>
      </c>
      <c r="AR264" s="116" t="s">
        <v>143</v>
      </c>
      <c r="AT264" s="122" t="s">
        <v>72</v>
      </c>
      <c r="AU264" s="122" t="s">
        <v>81</v>
      </c>
      <c r="AY264" s="116" t="s">
        <v>141</v>
      </c>
      <c r="BK264" s="123">
        <f>SUM(BK265:BK283)</f>
        <v>173330.16</v>
      </c>
    </row>
    <row r="265" spans="2:65" s="1" customFormat="1" ht="24.2" customHeight="1">
      <c r="B265" s="126"/>
      <c r="C265" s="127" t="s">
        <v>569</v>
      </c>
      <c r="D265" s="127" t="s">
        <v>144</v>
      </c>
      <c r="E265" s="128" t="s">
        <v>570</v>
      </c>
      <c r="F265" s="129" t="s">
        <v>571</v>
      </c>
      <c r="G265" s="130" t="s">
        <v>157</v>
      </c>
      <c r="H265" s="131">
        <v>186.94499999999999</v>
      </c>
      <c r="I265" s="132">
        <v>13.5</v>
      </c>
      <c r="J265" s="132">
        <f>ROUND(I265*H265,2)</f>
        <v>2523.7600000000002</v>
      </c>
      <c r="K265" s="129" t="s">
        <v>148</v>
      </c>
      <c r="L265" s="27"/>
      <c r="M265" s="133" t="s">
        <v>1</v>
      </c>
      <c r="N265" s="134" t="s">
        <v>39</v>
      </c>
      <c r="O265" s="135">
        <v>2.9000000000000001E-2</v>
      </c>
      <c r="P265" s="135">
        <f>O265*H265</f>
        <v>5.421405</v>
      </c>
      <c r="Q265" s="135">
        <v>0</v>
      </c>
      <c r="R265" s="135">
        <f>Q265*H265</f>
        <v>0</v>
      </c>
      <c r="S265" s="135">
        <v>0</v>
      </c>
      <c r="T265" s="136">
        <f>S265*H265</f>
        <v>0</v>
      </c>
      <c r="AR265" s="137" t="s">
        <v>206</v>
      </c>
      <c r="AT265" s="137" t="s">
        <v>144</v>
      </c>
      <c r="AU265" s="137" t="s">
        <v>143</v>
      </c>
      <c r="AY265" s="15" t="s">
        <v>141</v>
      </c>
      <c r="BE265" s="138">
        <f>IF(N265="základní",J265,0)</f>
        <v>0</v>
      </c>
      <c r="BF265" s="138">
        <f>IF(N265="snížená",J265,0)</f>
        <v>2523.7600000000002</v>
      </c>
      <c r="BG265" s="138">
        <f>IF(N265="zákl. přenesená",J265,0)</f>
        <v>0</v>
      </c>
      <c r="BH265" s="138">
        <f>IF(N265="sníž. přenesená",J265,0)</f>
        <v>0</v>
      </c>
      <c r="BI265" s="138">
        <f>IF(N265="nulová",J265,0)</f>
        <v>0</v>
      </c>
      <c r="BJ265" s="15" t="s">
        <v>143</v>
      </c>
      <c r="BK265" s="138">
        <f>ROUND(I265*H265,2)</f>
        <v>2523.7600000000002</v>
      </c>
      <c r="BL265" s="15" t="s">
        <v>206</v>
      </c>
      <c r="BM265" s="137" t="s">
        <v>572</v>
      </c>
    </row>
    <row r="266" spans="2:65" s="1" customFormat="1" ht="16.5" customHeight="1">
      <c r="B266" s="126"/>
      <c r="C266" s="139" t="s">
        <v>573</v>
      </c>
      <c r="D266" s="139" t="s">
        <v>207</v>
      </c>
      <c r="E266" s="140" t="s">
        <v>525</v>
      </c>
      <c r="F266" s="141" t="s">
        <v>526</v>
      </c>
      <c r="G266" s="142" t="s">
        <v>179</v>
      </c>
      <c r="H266" s="143">
        <v>0.06</v>
      </c>
      <c r="I266" s="144">
        <v>51800</v>
      </c>
      <c r="J266" s="144">
        <f>ROUND(I266*H266,2)</f>
        <v>3108</v>
      </c>
      <c r="K266" s="141" t="s">
        <v>148</v>
      </c>
      <c r="L266" s="145"/>
      <c r="M266" s="146" t="s">
        <v>1</v>
      </c>
      <c r="N266" s="147" t="s">
        <v>39</v>
      </c>
      <c r="O266" s="135">
        <v>0</v>
      </c>
      <c r="P266" s="135">
        <f>O266*H266</f>
        <v>0</v>
      </c>
      <c r="Q266" s="135">
        <v>1</v>
      </c>
      <c r="R266" s="135">
        <f>Q266*H266</f>
        <v>0.06</v>
      </c>
      <c r="S266" s="135">
        <v>0</v>
      </c>
      <c r="T266" s="136">
        <f>S266*H266</f>
        <v>0</v>
      </c>
      <c r="AR266" s="137" t="s">
        <v>274</v>
      </c>
      <c r="AT266" s="137" t="s">
        <v>207</v>
      </c>
      <c r="AU266" s="137" t="s">
        <v>143</v>
      </c>
      <c r="AY266" s="15" t="s">
        <v>141</v>
      </c>
      <c r="BE266" s="138">
        <f>IF(N266="základní",J266,0)</f>
        <v>0</v>
      </c>
      <c r="BF266" s="138">
        <f>IF(N266="snížená",J266,0)</f>
        <v>3108</v>
      </c>
      <c r="BG266" s="138">
        <f>IF(N266="zákl. přenesená",J266,0)</f>
        <v>0</v>
      </c>
      <c r="BH266" s="138">
        <f>IF(N266="sníž. přenesená",J266,0)</f>
        <v>0</v>
      </c>
      <c r="BI266" s="138">
        <f>IF(N266="nulová",J266,0)</f>
        <v>0</v>
      </c>
      <c r="BJ266" s="15" t="s">
        <v>143</v>
      </c>
      <c r="BK266" s="138">
        <f>ROUND(I266*H266,2)</f>
        <v>3108</v>
      </c>
      <c r="BL266" s="15" t="s">
        <v>206</v>
      </c>
      <c r="BM266" s="137" t="s">
        <v>574</v>
      </c>
    </row>
    <row r="267" spans="2:65" s="12" customFormat="1">
      <c r="B267" s="148"/>
      <c r="D267" s="149" t="s">
        <v>363</v>
      </c>
      <c r="F267" s="150" t="s">
        <v>575</v>
      </c>
      <c r="H267" s="151">
        <v>0.06</v>
      </c>
      <c r="L267" s="148"/>
      <c r="M267" s="152"/>
      <c r="T267" s="153"/>
      <c r="AT267" s="154" t="s">
        <v>363</v>
      </c>
      <c r="AU267" s="154" t="s">
        <v>143</v>
      </c>
      <c r="AV267" s="12" t="s">
        <v>143</v>
      </c>
      <c r="AW267" s="12" t="s">
        <v>3</v>
      </c>
      <c r="AX267" s="12" t="s">
        <v>81</v>
      </c>
      <c r="AY267" s="154" t="s">
        <v>141</v>
      </c>
    </row>
    <row r="268" spans="2:65" s="1" customFormat="1" ht="24.2" customHeight="1">
      <c r="B268" s="126"/>
      <c r="C268" s="127" t="s">
        <v>576</v>
      </c>
      <c r="D268" s="127" t="s">
        <v>144</v>
      </c>
      <c r="E268" s="128" t="s">
        <v>577</v>
      </c>
      <c r="F268" s="129" t="s">
        <v>578</v>
      </c>
      <c r="G268" s="130" t="s">
        <v>157</v>
      </c>
      <c r="H268" s="131">
        <v>171.553</v>
      </c>
      <c r="I268" s="132">
        <v>117</v>
      </c>
      <c r="J268" s="132">
        <f>ROUND(I268*H268,2)</f>
        <v>20071.7</v>
      </c>
      <c r="K268" s="129" t="s">
        <v>148</v>
      </c>
      <c r="L268" s="27"/>
      <c r="M268" s="133" t="s">
        <v>1</v>
      </c>
      <c r="N268" s="134" t="s">
        <v>39</v>
      </c>
      <c r="O268" s="135">
        <v>0.17899999999999999</v>
      </c>
      <c r="P268" s="135">
        <f>O268*H268</f>
        <v>30.707986999999999</v>
      </c>
      <c r="Q268" s="135">
        <v>8.8000000000000003E-4</v>
      </c>
      <c r="R268" s="135">
        <f>Q268*H268</f>
        <v>0.15096664000000001</v>
      </c>
      <c r="S268" s="135">
        <v>0</v>
      </c>
      <c r="T268" s="136">
        <f>S268*H268</f>
        <v>0</v>
      </c>
      <c r="AR268" s="137" t="s">
        <v>206</v>
      </c>
      <c r="AT268" s="137" t="s">
        <v>144</v>
      </c>
      <c r="AU268" s="137" t="s">
        <v>143</v>
      </c>
      <c r="AY268" s="15" t="s">
        <v>141</v>
      </c>
      <c r="BE268" s="138">
        <f>IF(N268="základní",J268,0)</f>
        <v>0</v>
      </c>
      <c r="BF268" s="138">
        <f>IF(N268="snížená",J268,0)</f>
        <v>20071.7</v>
      </c>
      <c r="BG268" s="138">
        <f>IF(N268="zákl. přenesená",J268,0)</f>
        <v>0</v>
      </c>
      <c r="BH268" s="138">
        <f>IF(N268="sníž. přenesená",J268,0)</f>
        <v>0</v>
      </c>
      <c r="BI268" s="138">
        <f>IF(N268="nulová",J268,0)</f>
        <v>0</v>
      </c>
      <c r="BJ268" s="15" t="s">
        <v>143</v>
      </c>
      <c r="BK268" s="138">
        <f>ROUND(I268*H268,2)</f>
        <v>20071.7</v>
      </c>
      <c r="BL268" s="15" t="s">
        <v>206</v>
      </c>
      <c r="BM268" s="137" t="s">
        <v>579</v>
      </c>
    </row>
    <row r="269" spans="2:65" s="1" customFormat="1" ht="24.2" customHeight="1">
      <c r="B269" s="126"/>
      <c r="C269" s="139" t="s">
        <v>580</v>
      </c>
      <c r="D269" s="139" t="s">
        <v>207</v>
      </c>
      <c r="E269" s="140" t="s">
        <v>541</v>
      </c>
      <c r="F269" s="141" t="s">
        <v>542</v>
      </c>
      <c r="G269" s="142" t="s">
        <v>157</v>
      </c>
      <c r="H269" s="143">
        <v>199.94499999999999</v>
      </c>
      <c r="I269" s="144">
        <v>148.41999999999999</v>
      </c>
      <c r="J269" s="144">
        <f>ROUND(I269*H269,2)</f>
        <v>29675.84</v>
      </c>
      <c r="K269" s="141" t="s">
        <v>1</v>
      </c>
      <c r="L269" s="145"/>
      <c r="M269" s="146" t="s">
        <v>1</v>
      </c>
      <c r="N269" s="147" t="s">
        <v>39</v>
      </c>
      <c r="O269" s="135">
        <v>0</v>
      </c>
      <c r="P269" s="135">
        <f>O269*H269</f>
        <v>0</v>
      </c>
      <c r="Q269" s="135">
        <v>5.4000000000000003E-3</v>
      </c>
      <c r="R269" s="135">
        <f>Q269*H269</f>
        <v>1.0797030000000001</v>
      </c>
      <c r="S269" s="135">
        <v>0</v>
      </c>
      <c r="T269" s="136">
        <f>S269*H269</f>
        <v>0</v>
      </c>
      <c r="AR269" s="137" t="s">
        <v>274</v>
      </c>
      <c r="AT269" s="137" t="s">
        <v>207</v>
      </c>
      <c r="AU269" s="137" t="s">
        <v>143</v>
      </c>
      <c r="AY269" s="15" t="s">
        <v>141</v>
      </c>
      <c r="BE269" s="138">
        <f>IF(N269="základní",J269,0)</f>
        <v>0</v>
      </c>
      <c r="BF269" s="138">
        <f>IF(N269="snížená",J269,0)</f>
        <v>29675.84</v>
      </c>
      <c r="BG269" s="138">
        <f>IF(N269="zákl. přenesená",J269,0)</f>
        <v>0</v>
      </c>
      <c r="BH269" s="138">
        <f>IF(N269="sníž. přenesená",J269,0)</f>
        <v>0</v>
      </c>
      <c r="BI269" s="138">
        <f>IF(N269="nulová",J269,0)</f>
        <v>0</v>
      </c>
      <c r="BJ269" s="15" t="s">
        <v>143</v>
      </c>
      <c r="BK269" s="138">
        <f>ROUND(I269*H269,2)</f>
        <v>29675.84</v>
      </c>
      <c r="BL269" s="15" t="s">
        <v>206</v>
      </c>
      <c r="BM269" s="137" t="s">
        <v>581</v>
      </c>
    </row>
    <row r="270" spans="2:65" s="12" customFormat="1">
      <c r="B270" s="148"/>
      <c r="D270" s="149" t="s">
        <v>363</v>
      </c>
      <c r="F270" s="150" t="s">
        <v>582</v>
      </c>
      <c r="H270" s="151">
        <v>199.94499999999999</v>
      </c>
      <c r="L270" s="148"/>
      <c r="M270" s="152"/>
      <c r="T270" s="153"/>
      <c r="AT270" s="154" t="s">
        <v>363</v>
      </c>
      <c r="AU270" s="154" t="s">
        <v>143</v>
      </c>
      <c r="AV270" s="12" t="s">
        <v>143</v>
      </c>
      <c r="AW270" s="12" t="s">
        <v>3</v>
      </c>
      <c r="AX270" s="12" t="s">
        <v>81</v>
      </c>
      <c r="AY270" s="154" t="s">
        <v>141</v>
      </c>
    </row>
    <row r="271" spans="2:65" s="1" customFormat="1" ht="24.2" customHeight="1">
      <c r="B271" s="126"/>
      <c r="C271" s="127" t="s">
        <v>583</v>
      </c>
      <c r="D271" s="127" t="s">
        <v>144</v>
      </c>
      <c r="E271" s="128" t="s">
        <v>584</v>
      </c>
      <c r="F271" s="129" t="s">
        <v>585</v>
      </c>
      <c r="G271" s="130" t="s">
        <v>157</v>
      </c>
      <c r="H271" s="131">
        <v>140.76900000000001</v>
      </c>
      <c r="I271" s="132">
        <v>264</v>
      </c>
      <c r="J271" s="132">
        <f>ROUND(I271*H271,2)</f>
        <v>37163.019999999997</v>
      </c>
      <c r="K271" s="129" t="s">
        <v>148</v>
      </c>
      <c r="L271" s="27"/>
      <c r="M271" s="133" t="s">
        <v>1</v>
      </c>
      <c r="N271" s="134" t="s">
        <v>39</v>
      </c>
      <c r="O271" s="135">
        <v>0.14099999999999999</v>
      </c>
      <c r="P271" s="135">
        <f>O271*H271</f>
        <v>19.848428999999999</v>
      </c>
      <c r="Q271" s="135">
        <v>7.2000000000000005E-4</v>
      </c>
      <c r="R271" s="135">
        <f>Q271*H271</f>
        <v>0.10135368000000002</v>
      </c>
      <c r="S271" s="135">
        <v>0</v>
      </c>
      <c r="T271" s="136">
        <f>S271*H271</f>
        <v>0</v>
      </c>
      <c r="AR271" s="137" t="s">
        <v>206</v>
      </c>
      <c r="AT271" s="137" t="s">
        <v>144</v>
      </c>
      <c r="AU271" s="137" t="s">
        <v>143</v>
      </c>
      <c r="AY271" s="15" t="s">
        <v>141</v>
      </c>
      <c r="BE271" s="138">
        <f>IF(N271="základní",J271,0)</f>
        <v>0</v>
      </c>
      <c r="BF271" s="138">
        <f>IF(N271="snížená",J271,0)</f>
        <v>37163.019999999997</v>
      </c>
      <c r="BG271" s="138">
        <f>IF(N271="zákl. přenesená",J271,0)</f>
        <v>0</v>
      </c>
      <c r="BH271" s="138">
        <f>IF(N271="sníž. přenesená",J271,0)</f>
        <v>0</v>
      </c>
      <c r="BI271" s="138">
        <f>IF(N271="nulová",J271,0)</f>
        <v>0</v>
      </c>
      <c r="BJ271" s="15" t="s">
        <v>143</v>
      </c>
      <c r="BK271" s="138">
        <f>ROUND(I271*H271,2)</f>
        <v>37163.019999999997</v>
      </c>
      <c r="BL271" s="15" t="s">
        <v>206</v>
      </c>
      <c r="BM271" s="137" t="s">
        <v>586</v>
      </c>
    </row>
    <row r="272" spans="2:65" s="1" customFormat="1" ht="33" customHeight="1">
      <c r="B272" s="126"/>
      <c r="C272" s="139" t="s">
        <v>587</v>
      </c>
      <c r="D272" s="139" t="s">
        <v>207</v>
      </c>
      <c r="E272" s="140" t="s">
        <v>588</v>
      </c>
      <c r="F272" s="141" t="s">
        <v>589</v>
      </c>
      <c r="G272" s="142" t="s">
        <v>157</v>
      </c>
      <c r="H272" s="143">
        <v>164.06700000000001</v>
      </c>
      <c r="I272" s="144">
        <v>273</v>
      </c>
      <c r="J272" s="144">
        <f>ROUND(I272*H272,2)</f>
        <v>44790.29</v>
      </c>
      <c r="K272" s="141" t="s">
        <v>148</v>
      </c>
      <c r="L272" s="145"/>
      <c r="M272" s="146" t="s">
        <v>1</v>
      </c>
      <c r="N272" s="147" t="s">
        <v>39</v>
      </c>
      <c r="O272" s="135">
        <v>0</v>
      </c>
      <c r="P272" s="135">
        <f>O272*H272</f>
        <v>0</v>
      </c>
      <c r="Q272" s="135">
        <v>1.9E-3</v>
      </c>
      <c r="R272" s="135">
        <f>Q272*H272</f>
        <v>0.31172730000000004</v>
      </c>
      <c r="S272" s="135">
        <v>0</v>
      </c>
      <c r="T272" s="136">
        <f>S272*H272</f>
        <v>0</v>
      </c>
      <c r="AR272" s="137" t="s">
        <v>274</v>
      </c>
      <c r="AT272" s="137" t="s">
        <v>207</v>
      </c>
      <c r="AU272" s="137" t="s">
        <v>143</v>
      </c>
      <c r="AY272" s="15" t="s">
        <v>141</v>
      </c>
      <c r="BE272" s="138">
        <f>IF(N272="základní",J272,0)</f>
        <v>0</v>
      </c>
      <c r="BF272" s="138">
        <f>IF(N272="snížená",J272,0)</f>
        <v>44790.29</v>
      </c>
      <c r="BG272" s="138">
        <f>IF(N272="zákl. přenesená",J272,0)</f>
        <v>0</v>
      </c>
      <c r="BH272" s="138">
        <f>IF(N272="sníž. přenesená",J272,0)</f>
        <v>0</v>
      </c>
      <c r="BI272" s="138">
        <f>IF(N272="nulová",J272,0)</f>
        <v>0</v>
      </c>
      <c r="BJ272" s="15" t="s">
        <v>143</v>
      </c>
      <c r="BK272" s="138">
        <f>ROUND(I272*H272,2)</f>
        <v>44790.29</v>
      </c>
      <c r="BL272" s="15" t="s">
        <v>206</v>
      </c>
      <c r="BM272" s="137" t="s">
        <v>590</v>
      </c>
    </row>
    <row r="273" spans="2:65" s="12" customFormat="1">
      <c r="B273" s="148"/>
      <c r="D273" s="149" t="s">
        <v>363</v>
      </c>
      <c r="F273" s="150" t="s">
        <v>591</v>
      </c>
      <c r="H273" s="151">
        <v>164.06700000000001</v>
      </c>
      <c r="L273" s="148"/>
      <c r="M273" s="152"/>
      <c r="T273" s="153"/>
      <c r="AT273" s="154" t="s">
        <v>363</v>
      </c>
      <c r="AU273" s="154" t="s">
        <v>143</v>
      </c>
      <c r="AV273" s="12" t="s">
        <v>143</v>
      </c>
      <c r="AW273" s="12" t="s">
        <v>3</v>
      </c>
      <c r="AX273" s="12" t="s">
        <v>81</v>
      </c>
      <c r="AY273" s="154" t="s">
        <v>141</v>
      </c>
    </row>
    <row r="274" spans="2:65" s="1" customFormat="1" ht="24.2" customHeight="1">
      <c r="B274" s="126"/>
      <c r="C274" s="127" t="s">
        <v>592</v>
      </c>
      <c r="D274" s="127" t="s">
        <v>144</v>
      </c>
      <c r="E274" s="128" t="s">
        <v>593</v>
      </c>
      <c r="F274" s="129" t="s">
        <v>594</v>
      </c>
      <c r="G274" s="130" t="s">
        <v>157</v>
      </c>
      <c r="H274" s="131">
        <v>140.76900000000001</v>
      </c>
      <c r="I274" s="132">
        <v>58.8</v>
      </c>
      <c r="J274" s="132">
        <f>ROUND(I274*H274,2)</f>
        <v>8277.2199999999993</v>
      </c>
      <c r="K274" s="129" t="s">
        <v>148</v>
      </c>
      <c r="L274" s="27"/>
      <c r="M274" s="133" t="s">
        <v>1</v>
      </c>
      <c r="N274" s="134" t="s">
        <v>39</v>
      </c>
      <c r="O274" s="135">
        <v>0.11</v>
      </c>
      <c r="P274" s="135">
        <f>O274*H274</f>
        <v>15.484590000000001</v>
      </c>
      <c r="Q274" s="135">
        <v>0</v>
      </c>
      <c r="R274" s="135">
        <f>Q274*H274</f>
        <v>0</v>
      </c>
      <c r="S274" s="135">
        <v>0</v>
      </c>
      <c r="T274" s="136">
        <f>S274*H274</f>
        <v>0</v>
      </c>
      <c r="AR274" s="137" t="s">
        <v>206</v>
      </c>
      <c r="AT274" s="137" t="s">
        <v>144</v>
      </c>
      <c r="AU274" s="137" t="s">
        <v>143</v>
      </c>
      <c r="AY274" s="15" t="s">
        <v>141</v>
      </c>
      <c r="BE274" s="138">
        <f>IF(N274="základní",J274,0)</f>
        <v>0</v>
      </c>
      <c r="BF274" s="138">
        <f>IF(N274="snížená",J274,0)</f>
        <v>8277.2199999999993</v>
      </c>
      <c r="BG274" s="138">
        <f>IF(N274="zákl. přenesená",J274,0)</f>
        <v>0</v>
      </c>
      <c r="BH274" s="138">
        <f>IF(N274="sníž. přenesená",J274,0)</f>
        <v>0</v>
      </c>
      <c r="BI274" s="138">
        <f>IF(N274="nulová",J274,0)</f>
        <v>0</v>
      </c>
      <c r="BJ274" s="15" t="s">
        <v>143</v>
      </c>
      <c r="BK274" s="138">
        <f>ROUND(I274*H274,2)</f>
        <v>8277.2199999999993</v>
      </c>
      <c r="BL274" s="15" t="s">
        <v>206</v>
      </c>
      <c r="BM274" s="137" t="s">
        <v>595</v>
      </c>
    </row>
    <row r="275" spans="2:65" s="1" customFormat="1" ht="24.2" customHeight="1">
      <c r="B275" s="126"/>
      <c r="C275" s="139" t="s">
        <v>596</v>
      </c>
      <c r="D275" s="139" t="s">
        <v>207</v>
      </c>
      <c r="E275" s="140" t="s">
        <v>597</v>
      </c>
      <c r="F275" s="141" t="s">
        <v>598</v>
      </c>
      <c r="G275" s="142" t="s">
        <v>157</v>
      </c>
      <c r="H275" s="143">
        <v>161.88499999999999</v>
      </c>
      <c r="I275" s="144">
        <v>14.9</v>
      </c>
      <c r="J275" s="144">
        <f>ROUND(I275*H275,2)</f>
        <v>2412.09</v>
      </c>
      <c r="K275" s="141" t="s">
        <v>148</v>
      </c>
      <c r="L275" s="145"/>
      <c r="M275" s="146" t="s">
        <v>1</v>
      </c>
      <c r="N275" s="147" t="s">
        <v>39</v>
      </c>
      <c r="O275" s="135">
        <v>0</v>
      </c>
      <c r="P275" s="135">
        <f>O275*H275</f>
        <v>0</v>
      </c>
      <c r="Q275" s="135">
        <v>1E-4</v>
      </c>
      <c r="R275" s="135">
        <f>Q275*H275</f>
        <v>1.6188500000000001E-2</v>
      </c>
      <c r="S275" s="135">
        <v>0</v>
      </c>
      <c r="T275" s="136">
        <f>S275*H275</f>
        <v>0</v>
      </c>
      <c r="AR275" s="137" t="s">
        <v>274</v>
      </c>
      <c r="AT275" s="137" t="s">
        <v>207</v>
      </c>
      <c r="AU275" s="137" t="s">
        <v>143</v>
      </c>
      <c r="AY275" s="15" t="s">
        <v>141</v>
      </c>
      <c r="BE275" s="138">
        <f>IF(N275="základní",J275,0)</f>
        <v>0</v>
      </c>
      <c r="BF275" s="138">
        <f>IF(N275="snížená",J275,0)</f>
        <v>2412.09</v>
      </c>
      <c r="BG275" s="138">
        <f>IF(N275="zákl. přenesená",J275,0)</f>
        <v>0</v>
      </c>
      <c r="BH275" s="138">
        <f>IF(N275="sníž. přenesená",J275,0)</f>
        <v>0</v>
      </c>
      <c r="BI275" s="138">
        <f>IF(N275="nulová",J275,0)</f>
        <v>0</v>
      </c>
      <c r="BJ275" s="15" t="s">
        <v>143</v>
      </c>
      <c r="BK275" s="138">
        <f>ROUND(I275*H275,2)</f>
        <v>2412.09</v>
      </c>
      <c r="BL275" s="15" t="s">
        <v>206</v>
      </c>
      <c r="BM275" s="137" t="s">
        <v>599</v>
      </c>
    </row>
    <row r="276" spans="2:65" s="12" customFormat="1">
      <c r="B276" s="148"/>
      <c r="D276" s="149" t="s">
        <v>363</v>
      </c>
      <c r="F276" s="150" t="s">
        <v>600</v>
      </c>
      <c r="H276" s="151">
        <v>161.88499999999999</v>
      </c>
      <c r="L276" s="148"/>
      <c r="M276" s="152"/>
      <c r="T276" s="153"/>
      <c r="AT276" s="154" t="s">
        <v>363</v>
      </c>
      <c r="AU276" s="154" t="s">
        <v>143</v>
      </c>
      <c r="AV276" s="12" t="s">
        <v>143</v>
      </c>
      <c r="AW276" s="12" t="s">
        <v>3</v>
      </c>
      <c r="AX276" s="12" t="s">
        <v>81</v>
      </c>
      <c r="AY276" s="154" t="s">
        <v>141</v>
      </c>
    </row>
    <row r="277" spans="2:65" s="1" customFormat="1" ht="24.2" customHeight="1">
      <c r="B277" s="126"/>
      <c r="C277" s="127" t="s">
        <v>601</v>
      </c>
      <c r="D277" s="127" t="s">
        <v>144</v>
      </c>
      <c r="E277" s="128" t="s">
        <v>602</v>
      </c>
      <c r="F277" s="129" t="s">
        <v>603</v>
      </c>
      <c r="G277" s="130" t="s">
        <v>157</v>
      </c>
      <c r="H277" s="131">
        <v>140.76900000000001</v>
      </c>
      <c r="I277" s="132">
        <v>7.56</v>
      </c>
      <c r="J277" s="132">
        <f>ROUND(I277*H277,2)</f>
        <v>1064.21</v>
      </c>
      <c r="K277" s="129" t="s">
        <v>148</v>
      </c>
      <c r="L277" s="27"/>
      <c r="M277" s="133" t="s">
        <v>1</v>
      </c>
      <c r="N277" s="134" t="s">
        <v>39</v>
      </c>
      <c r="O277" s="135">
        <v>1.7999999999999999E-2</v>
      </c>
      <c r="P277" s="135">
        <f>O277*H277</f>
        <v>2.5338419999999999</v>
      </c>
      <c r="Q277" s="135">
        <v>0</v>
      </c>
      <c r="R277" s="135">
        <f>Q277*H277</f>
        <v>0</v>
      </c>
      <c r="S277" s="135">
        <v>0</v>
      </c>
      <c r="T277" s="136">
        <f>S277*H277</f>
        <v>0</v>
      </c>
      <c r="AR277" s="137" t="s">
        <v>206</v>
      </c>
      <c r="AT277" s="137" t="s">
        <v>144</v>
      </c>
      <c r="AU277" s="137" t="s">
        <v>143</v>
      </c>
      <c r="AY277" s="15" t="s">
        <v>141</v>
      </c>
      <c r="BE277" s="138">
        <f>IF(N277="základní",J277,0)</f>
        <v>0</v>
      </c>
      <c r="BF277" s="138">
        <f>IF(N277="snížená",J277,0)</f>
        <v>1064.21</v>
      </c>
      <c r="BG277" s="138">
        <f>IF(N277="zákl. přenesená",J277,0)</f>
        <v>0</v>
      </c>
      <c r="BH277" s="138">
        <f>IF(N277="sníž. přenesená",J277,0)</f>
        <v>0</v>
      </c>
      <c r="BI277" s="138">
        <f>IF(N277="nulová",J277,0)</f>
        <v>0</v>
      </c>
      <c r="BJ277" s="15" t="s">
        <v>143</v>
      </c>
      <c r="BK277" s="138">
        <f>ROUND(I277*H277,2)</f>
        <v>1064.21</v>
      </c>
      <c r="BL277" s="15" t="s">
        <v>206</v>
      </c>
      <c r="BM277" s="137" t="s">
        <v>604</v>
      </c>
    </row>
    <row r="278" spans="2:65" s="1" customFormat="1" ht="16.5" customHeight="1">
      <c r="B278" s="126"/>
      <c r="C278" s="139" t="s">
        <v>605</v>
      </c>
      <c r="D278" s="139" t="s">
        <v>207</v>
      </c>
      <c r="E278" s="140" t="s">
        <v>606</v>
      </c>
      <c r="F278" s="141" t="s">
        <v>607</v>
      </c>
      <c r="G278" s="142" t="s">
        <v>179</v>
      </c>
      <c r="H278" s="143">
        <v>11.613</v>
      </c>
      <c r="I278" s="144">
        <v>510</v>
      </c>
      <c r="J278" s="144">
        <f>ROUND(I278*H278,2)</f>
        <v>5922.63</v>
      </c>
      <c r="K278" s="141" t="s">
        <v>148</v>
      </c>
      <c r="L278" s="145"/>
      <c r="M278" s="146" t="s">
        <v>1</v>
      </c>
      <c r="N278" s="147" t="s">
        <v>39</v>
      </c>
      <c r="O278" s="135">
        <v>0</v>
      </c>
      <c r="P278" s="135">
        <f>O278*H278</f>
        <v>0</v>
      </c>
      <c r="Q278" s="135">
        <v>1</v>
      </c>
      <c r="R278" s="135">
        <f>Q278*H278</f>
        <v>11.613</v>
      </c>
      <c r="S278" s="135">
        <v>0</v>
      </c>
      <c r="T278" s="136">
        <f>S278*H278</f>
        <v>0</v>
      </c>
      <c r="AR278" s="137" t="s">
        <v>274</v>
      </c>
      <c r="AT278" s="137" t="s">
        <v>207</v>
      </c>
      <c r="AU278" s="137" t="s">
        <v>143</v>
      </c>
      <c r="AY278" s="15" t="s">
        <v>141</v>
      </c>
      <c r="BE278" s="138">
        <f>IF(N278="základní",J278,0)</f>
        <v>0</v>
      </c>
      <c r="BF278" s="138">
        <f>IF(N278="snížená",J278,0)</f>
        <v>5922.63</v>
      </c>
      <c r="BG278" s="138">
        <f>IF(N278="zákl. přenesená",J278,0)</f>
        <v>0</v>
      </c>
      <c r="BH278" s="138">
        <f>IF(N278="sníž. přenesená",J278,0)</f>
        <v>0</v>
      </c>
      <c r="BI278" s="138">
        <f>IF(N278="nulová",J278,0)</f>
        <v>0</v>
      </c>
      <c r="BJ278" s="15" t="s">
        <v>143</v>
      </c>
      <c r="BK278" s="138">
        <f>ROUND(I278*H278,2)</f>
        <v>5922.63</v>
      </c>
      <c r="BL278" s="15" t="s">
        <v>206</v>
      </c>
      <c r="BM278" s="137" t="s">
        <v>608</v>
      </c>
    </row>
    <row r="279" spans="2:65" s="12" customFormat="1">
      <c r="B279" s="148"/>
      <c r="D279" s="149" t="s">
        <v>363</v>
      </c>
      <c r="F279" s="150" t="s">
        <v>609</v>
      </c>
      <c r="H279" s="151">
        <v>11.613</v>
      </c>
      <c r="L279" s="148"/>
      <c r="M279" s="152"/>
      <c r="T279" s="153"/>
      <c r="AT279" s="154" t="s">
        <v>363</v>
      </c>
      <c r="AU279" s="154" t="s">
        <v>143</v>
      </c>
      <c r="AV279" s="12" t="s">
        <v>143</v>
      </c>
      <c r="AW279" s="12" t="s">
        <v>3</v>
      </c>
      <c r="AX279" s="12" t="s">
        <v>81</v>
      </c>
      <c r="AY279" s="154" t="s">
        <v>141</v>
      </c>
    </row>
    <row r="280" spans="2:65" s="1" customFormat="1" ht="24.2" customHeight="1">
      <c r="B280" s="126"/>
      <c r="C280" s="127" t="s">
        <v>610</v>
      </c>
      <c r="D280" s="127" t="s">
        <v>144</v>
      </c>
      <c r="E280" s="128" t="s">
        <v>611</v>
      </c>
      <c r="F280" s="129" t="s">
        <v>612</v>
      </c>
      <c r="G280" s="130" t="s">
        <v>157</v>
      </c>
      <c r="H280" s="131">
        <v>1407.692</v>
      </c>
      <c r="I280" s="132">
        <v>0.84</v>
      </c>
      <c r="J280" s="132">
        <f>ROUND(I280*H280,2)</f>
        <v>1182.46</v>
      </c>
      <c r="K280" s="129" t="s">
        <v>148</v>
      </c>
      <c r="L280" s="27"/>
      <c r="M280" s="133" t="s">
        <v>1</v>
      </c>
      <c r="N280" s="134" t="s">
        <v>39</v>
      </c>
      <c r="O280" s="135">
        <v>2E-3</v>
      </c>
      <c r="P280" s="135">
        <f>O280*H280</f>
        <v>2.8153839999999999</v>
      </c>
      <c r="Q280" s="135">
        <v>0</v>
      </c>
      <c r="R280" s="135">
        <f>Q280*H280</f>
        <v>0</v>
      </c>
      <c r="S280" s="135">
        <v>0</v>
      </c>
      <c r="T280" s="136">
        <f>S280*H280</f>
        <v>0</v>
      </c>
      <c r="AR280" s="137" t="s">
        <v>206</v>
      </c>
      <c r="AT280" s="137" t="s">
        <v>144</v>
      </c>
      <c r="AU280" s="137" t="s">
        <v>143</v>
      </c>
      <c r="AY280" s="15" t="s">
        <v>141</v>
      </c>
      <c r="BE280" s="138">
        <f>IF(N280="základní",J280,0)</f>
        <v>0</v>
      </c>
      <c r="BF280" s="138">
        <f>IF(N280="snížená",J280,0)</f>
        <v>1182.46</v>
      </c>
      <c r="BG280" s="138">
        <f>IF(N280="zákl. přenesená",J280,0)</f>
        <v>0</v>
      </c>
      <c r="BH280" s="138">
        <f>IF(N280="sníž. přenesená",J280,0)</f>
        <v>0</v>
      </c>
      <c r="BI280" s="138">
        <f>IF(N280="nulová",J280,0)</f>
        <v>0</v>
      </c>
      <c r="BJ280" s="15" t="s">
        <v>143</v>
      </c>
      <c r="BK280" s="138">
        <f>ROUND(I280*H280,2)</f>
        <v>1182.46</v>
      </c>
      <c r="BL280" s="15" t="s">
        <v>206</v>
      </c>
      <c r="BM280" s="137" t="s">
        <v>613</v>
      </c>
    </row>
    <row r="281" spans="2:65" s="1" customFormat="1" ht="16.5" customHeight="1">
      <c r="B281" s="126"/>
      <c r="C281" s="139" t="s">
        <v>614</v>
      </c>
      <c r="D281" s="139" t="s">
        <v>207</v>
      </c>
      <c r="E281" s="140" t="s">
        <v>606</v>
      </c>
      <c r="F281" s="141" t="s">
        <v>607</v>
      </c>
      <c r="G281" s="142" t="s">
        <v>179</v>
      </c>
      <c r="H281" s="143">
        <v>23.227</v>
      </c>
      <c r="I281" s="144">
        <v>510</v>
      </c>
      <c r="J281" s="144">
        <f>ROUND(I281*H281,2)</f>
        <v>11845.77</v>
      </c>
      <c r="K281" s="141" t="s">
        <v>148</v>
      </c>
      <c r="L281" s="145"/>
      <c r="M281" s="146" t="s">
        <v>1</v>
      </c>
      <c r="N281" s="147" t="s">
        <v>39</v>
      </c>
      <c r="O281" s="135">
        <v>0</v>
      </c>
      <c r="P281" s="135">
        <f>O281*H281</f>
        <v>0</v>
      </c>
      <c r="Q281" s="135">
        <v>1</v>
      </c>
      <c r="R281" s="135">
        <f>Q281*H281</f>
        <v>23.227</v>
      </c>
      <c r="S281" s="135">
        <v>0</v>
      </c>
      <c r="T281" s="136">
        <f>S281*H281</f>
        <v>0</v>
      </c>
      <c r="AR281" s="137" t="s">
        <v>274</v>
      </c>
      <c r="AT281" s="137" t="s">
        <v>207</v>
      </c>
      <c r="AU281" s="137" t="s">
        <v>143</v>
      </c>
      <c r="AY281" s="15" t="s">
        <v>141</v>
      </c>
      <c r="BE281" s="138">
        <f>IF(N281="základní",J281,0)</f>
        <v>0</v>
      </c>
      <c r="BF281" s="138">
        <f>IF(N281="snížená",J281,0)</f>
        <v>11845.77</v>
      </c>
      <c r="BG281" s="138">
        <f>IF(N281="zákl. přenesená",J281,0)</f>
        <v>0</v>
      </c>
      <c r="BH281" s="138">
        <f>IF(N281="sníž. přenesená",J281,0)</f>
        <v>0</v>
      </c>
      <c r="BI281" s="138">
        <f>IF(N281="nulová",J281,0)</f>
        <v>0</v>
      </c>
      <c r="BJ281" s="15" t="s">
        <v>143</v>
      </c>
      <c r="BK281" s="138">
        <f>ROUND(I281*H281,2)</f>
        <v>11845.77</v>
      </c>
      <c r="BL281" s="15" t="s">
        <v>206</v>
      </c>
      <c r="BM281" s="137" t="s">
        <v>615</v>
      </c>
    </row>
    <row r="282" spans="2:65" s="12" customFormat="1">
      <c r="B282" s="148"/>
      <c r="D282" s="149" t="s">
        <v>363</v>
      </c>
      <c r="F282" s="150" t="s">
        <v>616</v>
      </c>
      <c r="H282" s="151">
        <v>23.227</v>
      </c>
      <c r="L282" s="148"/>
      <c r="M282" s="152"/>
      <c r="T282" s="153"/>
      <c r="AT282" s="154" t="s">
        <v>363</v>
      </c>
      <c r="AU282" s="154" t="s">
        <v>143</v>
      </c>
      <c r="AV282" s="12" t="s">
        <v>143</v>
      </c>
      <c r="AW282" s="12" t="s">
        <v>3</v>
      </c>
      <c r="AX282" s="12" t="s">
        <v>81</v>
      </c>
      <c r="AY282" s="154" t="s">
        <v>141</v>
      </c>
    </row>
    <row r="283" spans="2:65" s="1" customFormat="1" ht="24.2" customHeight="1">
      <c r="B283" s="126"/>
      <c r="C283" s="127" t="s">
        <v>617</v>
      </c>
      <c r="D283" s="127" t="s">
        <v>144</v>
      </c>
      <c r="E283" s="128" t="s">
        <v>618</v>
      </c>
      <c r="F283" s="129" t="s">
        <v>619</v>
      </c>
      <c r="G283" s="130" t="s">
        <v>565</v>
      </c>
      <c r="H283" s="131">
        <v>1680.37</v>
      </c>
      <c r="I283" s="132">
        <v>3.15</v>
      </c>
      <c r="J283" s="132">
        <f>ROUND(I283*H283,2)</f>
        <v>5293.17</v>
      </c>
      <c r="K283" s="129" t="s">
        <v>148</v>
      </c>
      <c r="L283" s="27"/>
      <c r="M283" s="133" t="s">
        <v>1</v>
      </c>
      <c r="N283" s="134" t="s">
        <v>39</v>
      </c>
      <c r="O283" s="135">
        <v>0</v>
      </c>
      <c r="P283" s="135">
        <f>O283*H283</f>
        <v>0</v>
      </c>
      <c r="Q283" s="135">
        <v>0</v>
      </c>
      <c r="R283" s="135">
        <f>Q283*H283</f>
        <v>0</v>
      </c>
      <c r="S283" s="135">
        <v>0</v>
      </c>
      <c r="T283" s="136">
        <f>S283*H283</f>
        <v>0</v>
      </c>
      <c r="AR283" s="137" t="s">
        <v>206</v>
      </c>
      <c r="AT283" s="137" t="s">
        <v>144</v>
      </c>
      <c r="AU283" s="137" t="s">
        <v>143</v>
      </c>
      <c r="AY283" s="15" t="s">
        <v>141</v>
      </c>
      <c r="BE283" s="138">
        <f>IF(N283="základní",J283,0)</f>
        <v>0</v>
      </c>
      <c r="BF283" s="138">
        <f>IF(N283="snížená",J283,0)</f>
        <v>5293.17</v>
      </c>
      <c r="BG283" s="138">
        <f>IF(N283="zákl. přenesená",J283,0)</f>
        <v>0</v>
      </c>
      <c r="BH283" s="138">
        <f>IF(N283="sníž. přenesená",J283,0)</f>
        <v>0</v>
      </c>
      <c r="BI283" s="138">
        <f>IF(N283="nulová",J283,0)</f>
        <v>0</v>
      </c>
      <c r="BJ283" s="15" t="s">
        <v>143</v>
      </c>
      <c r="BK283" s="138">
        <f>ROUND(I283*H283,2)</f>
        <v>5293.17</v>
      </c>
      <c r="BL283" s="15" t="s">
        <v>206</v>
      </c>
      <c r="BM283" s="137" t="s">
        <v>620</v>
      </c>
    </row>
    <row r="284" spans="2:65" s="11" customFormat="1" ht="22.9" customHeight="1">
      <c r="B284" s="115"/>
      <c r="D284" s="116" t="s">
        <v>72</v>
      </c>
      <c r="E284" s="124" t="s">
        <v>621</v>
      </c>
      <c r="F284" s="124" t="s">
        <v>622</v>
      </c>
      <c r="J284" s="125">
        <f>BK284</f>
        <v>1929541.21</v>
      </c>
      <c r="L284" s="115"/>
      <c r="M284" s="119"/>
      <c r="P284" s="120">
        <f>SUM(P285:P316)</f>
        <v>346.117074</v>
      </c>
      <c r="R284" s="120">
        <f>SUM(R285:R316)</f>
        <v>15.36608945</v>
      </c>
      <c r="T284" s="121">
        <f>SUM(T285:T316)</f>
        <v>0</v>
      </c>
      <c r="AR284" s="116" t="s">
        <v>143</v>
      </c>
      <c r="AT284" s="122" t="s">
        <v>72</v>
      </c>
      <c r="AU284" s="122" t="s">
        <v>81</v>
      </c>
      <c r="AY284" s="116" t="s">
        <v>141</v>
      </c>
      <c r="BK284" s="123">
        <f>SUM(BK285:BK316)</f>
        <v>1929541.21</v>
      </c>
    </row>
    <row r="285" spans="2:65" s="1" customFormat="1" ht="24.2" customHeight="1">
      <c r="B285" s="126"/>
      <c r="C285" s="127" t="s">
        <v>623</v>
      </c>
      <c r="D285" s="127" t="s">
        <v>144</v>
      </c>
      <c r="E285" s="128" t="s">
        <v>624</v>
      </c>
      <c r="F285" s="129" t="s">
        <v>625</v>
      </c>
      <c r="G285" s="130" t="s">
        <v>157</v>
      </c>
      <c r="H285" s="131">
        <v>705.12</v>
      </c>
      <c r="I285" s="132">
        <v>58.8</v>
      </c>
      <c r="J285" s="132">
        <f>ROUND(I285*H285,2)</f>
        <v>41461.06</v>
      </c>
      <c r="K285" s="129" t="s">
        <v>148</v>
      </c>
      <c r="L285" s="27"/>
      <c r="M285" s="133" t="s">
        <v>1</v>
      </c>
      <c r="N285" s="134" t="s">
        <v>39</v>
      </c>
      <c r="O285" s="135">
        <v>0.14000000000000001</v>
      </c>
      <c r="P285" s="135">
        <f>O285*H285</f>
        <v>98.716800000000006</v>
      </c>
      <c r="Q285" s="135">
        <v>0</v>
      </c>
      <c r="R285" s="135">
        <f>Q285*H285</f>
        <v>0</v>
      </c>
      <c r="S285" s="135">
        <v>0</v>
      </c>
      <c r="T285" s="136">
        <f>S285*H285</f>
        <v>0</v>
      </c>
      <c r="AR285" s="137" t="s">
        <v>149</v>
      </c>
      <c r="AT285" s="137" t="s">
        <v>144</v>
      </c>
      <c r="AU285" s="137" t="s">
        <v>143</v>
      </c>
      <c r="AY285" s="15" t="s">
        <v>141</v>
      </c>
      <c r="BE285" s="138">
        <f>IF(N285="základní",J285,0)</f>
        <v>0</v>
      </c>
      <c r="BF285" s="138">
        <f>IF(N285="snížená",J285,0)</f>
        <v>41461.06</v>
      </c>
      <c r="BG285" s="138">
        <f>IF(N285="zákl. přenesená",J285,0)</f>
        <v>0</v>
      </c>
      <c r="BH285" s="138">
        <f>IF(N285="sníž. přenesená",J285,0)</f>
        <v>0</v>
      </c>
      <c r="BI285" s="138">
        <f>IF(N285="nulová",J285,0)</f>
        <v>0</v>
      </c>
      <c r="BJ285" s="15" t="s">
        <v>143</v>
      </c>
      <c r="BK285" s="138">
        <f>ROUND(I285*H285,2)</f>
        <v>41461.06</v>
      </c>
      <c r="BL285" s="15" t="s">
        <v>149</v>
      </c>
      <c r="BM285" s="137" t="s">
        <v>626</v>
      </c>
    </row>
    <row r="286" spans="2:65" s="1" customFormat="1" ht="24.2" customHeight="1">
      <c r="B286" s="126"/>
      <c r="C286" s="139" t="s">
        <v>627</v>
      </c>
      <c r="D286" s="139" t="s">
        <v>207</v>
      </c>
      <c r="E286" s="140" t="s">
        <v>628</v>
      </c>
      <c r="F286" s="141" t="s">
        <v>629</v>
      </c>
      <c r="G286" s="142" t="s">
        <v>157</v>
      </c>
      <c r="H286" s="143">
        <v>719.22199999999998</v>
      </c>
      <c r="I286" s="144">
        <v>326</v>
      </c>
      <c r="J286" s="144">
        <f>ROUND(I286*H286,2)</f>
        <v>234466.37</v>
      </c>
      <c r="K286" s="141" t="s">
        <v>148</v>
      </c>
      <c r="L286" s="145"/>
      <c r="M286" s="146" t="s">
        <v>1</v>
      </c>
      <c r="N286" s="147" t="s">
        <v>39</v>
      </c>
      <c r="O286" s="135">
        <v>0</v>
      </c>
      <c r="P286" s="135">
        <f>O286*H286</f>
        <v>0</v>
      </c>
      <c r="Q286" s="135">
        <v>2.8999999999999998E-3</v>
      </c>
      <c r="R286" s="135">
        <f>Q286*H286</f>
        <v>2.0857437999999999</v>
      </c>
      <c r="S286" s="135">
        <v>0</v>
      </c>
      <c r="T286" s="136">
        <f>S286*H286</f>
        <v>0</v>
      </c>
      <c r="AR286" s="137" t="s">
        <v>172</v>
      </c>
      <c r="AT286" s="137" t="s">
        <v>207</v>
      </c>
      <c r="AU286" s="137" t="s">
        <v>143</v>
      </c>
      <c r="AY286" s="15" t="s">
        <v>141</v>
      </c>
      <c r="BE286" s="138">
        <f>IF(N286="základní",J286,0)</f>
        <v>0</v>
      </c>
      <c r="BF286" s="138">
        <f>IF(N286="snížená",J286,0)</f>
        <v>234466.37</v>
      </c>
      <c r="BG286" s="138">
        <f>IF(N286="zákl. přenesená",J286,0)</f>
        <v>0</v>
      </c>
      <c r="BH286" s="138">
        <f>IF(N286="sníž. přenesená",J286,0)</f>
        <v>0</v>
      </c>
      <c r="BI286" s="138">
        <f>IF(N286="nulová",J286,0)</f>
        <v>0</v>
      </c>
      <c r="BJ286" s="15" t="s">
        <v>143</v>
      </c>
      <c r="BK286" s="138">
        <f>ROUND(I286*H286,2)</f>
        <v>234466.37</v>
      </c>
      <c r="BL286" s="15" t="s">
        <v>149</v>
      </c>
      <c r="BM286" s="137" t="s">
        <v>630</v>
      </c>
    </row>
    <row r="287" spans="2:65" s="12" customFormat="1">
      <c r="B287" s="148"/>
      <c r="D287" s="149" t="s">
        <v>363</v>
      </c>
      <c r="F287" s="150" t="s">
        <v>631</v>
      </c>
      <c r="H287" s="151">
        <v>719.22199999999998</v>
      </c>
      <c r="L287" s="148"/>
      <c r="M287" s="152"/>
      <c r="T287" s="153"/>
      <c r="AT287" s="154" t="s">
        <v>363</v>
      </c>
      <c r="AU287" s="154" t="s">
        <v>143</v>
      </c>
      <c r="AV287" s="12" t="s">
        <v>143</v>
      </c>
      <c r="AW287" s="12" t="s">
        <v>3</v>
      </c>
      <c r="AX287" s="12" t="s">
        <v>81</v>
      </c>
      <c r="AY287" s="154" t="s">
        <v>141</v>
      </c>
    </row>
    <row r="288" spans="2:65" s="1" customFormat="1" ht="24.2" customHeight="1">
      <c r="B288" s="126"/>
      <c r="C288" s="139" t="s">
        <v>632</v>
      </c>
      <c r="D288" s="139" t="s">
        <v>207</v>
      </c>
      <c r="E288" s="140" t="s">
        <v>633</v>
      </c>
      <c r="F288" s="141" t="s">
        <v>634</v>
      </c>
      <c r="G288" s="142" t="s">
        <v>157</v>
      </c>
      <c r="H288" s="143">
        <v>719.22199999999998</v>
      </c>
      <c r="I288" s="144">
        <v>492</v>
      </c>
      <c r="J288" s="144">
        <f>ROUND(I288*H288,2)</f>
        <v>353857.22</v>
      </c>
      <c r="K288" s="141" t="s">
        <v>148</v>
      </c>
      <c r="L288" s="145"/>
      <c r="M288" s="146" t="s">
        <v>1</v>
      </c>
      <c r="N288" s="147" t="s">
        <v>39</v>
      </c>
      <c r="O288" s="135">
        <v>0</v>
      </c>
      <c r="P288" s="135">
        <f>O288*H288</f>
        <v>0</v>
      </c>
      <c r="Q288" s="135">
        <v>4.4999999999999997E-3</v>
      </c>
      <c r="R288" s="135">
        <f>Q288*H288</f>
        <v>3.2364989999999998</v>
      </c>
      <c r="S288" s="135">
        <v>0</v>
      </c>
      <c r="T288" s="136">
        <f>S288*H288</f>
        <v>0</v>
      </c>
      <c r="AR288" s="137" t="s">
        <v>172</v>
      </c>
      <c r="AT288" s="137" t="s">
        <v>207</v>
      </c>
      <c r="AU288" s="137" t="s">
        <v>143</v>
      </c>
      <c r="AY288" s="15" t="s">
        <v>141</v>
      </c>
      <c r="BE288" s="138">
        <f>IF(N288="základní",J288,0)</f>
        <v>0</v>
      </c>
      <c r="BF288" s="138">
        <f>IF(N288="snížená",J288,0)</f>
        <v>353857.22</v>
      </c>
      <c r="BG288" s="138">
        <f>IF(N288="zákl. přenesená",J288,0)</f>
        <v>0</v>
      </c>
      <c r="BH288" s="138">
        <f>IF(N288="sníž. přenesená",J288,0)</f>
        <v>0</v>
      </c>
      <c r="BI288" s="138">
        <f>IF(N288="nulová",J288,0)</f>
        <v>0</v>
      </c>
      <c r="BJ288" s="15" t="s">
        <v>143</v>
      </c>
      <c r="BK288" s="138">
        <f>ROUND(I288*H288,2)</f>
        <v>353857.22</v>
      </c>
      <c r="BL288" s="15" t="s">
        <v>149</v>
      </c>
      <c r="BM288" s="137" t="s">
        <v>635</v>
      </c>
    </row>
    <row r="289" spans="2:65" s="12" customFormat="1">
      <c r="B289" s="148"/>
      <c r="D289" s="149" t="s">
        <v>363</v>
      </c>
      <c r="F289" s="150" t="s">
        <v>631</v>
      </c>
      <c r="H289" s="151">
        <v>719.22199999999998</v>
      </c>
      <c r="L289" s="148"/>
      <c r="M289" s="152"/>
      <c r="T289" s="153"/>
      <c r="AT289" s="154" t="s">
        <v>363</v>
      </c>
      <c r="AU289" s="154" t="s">
        <v>143</v>
      </c>
      <c r="AV289" s="12" t="s">
        <v>143</v>
      </c>
      <c r="AW289" s="12" t="s">
        <v>3</v>
      </c>
      <c r="AX289" s="12" t="s">
        <v>81</v>
      </c>
      <c r="AY289" s="154" t="s">
        <v>141</v>
      </c>
    </row>
    <row r="290" spans="2:65" s="1" customFormat="1" ht="24.2" customHeight="1">
      <c r="B290" s="126"/>
      <c r="C290" s="127" t="s">
        <v>636</v>
      </c>
      <c r="D290" s="127" t="s">
        <v>144</v>
      </c>
      <c r="E290" s="128" t="s">
        <v>624</v>
      </c>
      <c r="F290" s="129" t="s">
        <v>625</v>
      </c>
      <c r="G290" s="130" t="s">
        <v>157</v>
      </c>
      <c r="H290" s="131">
        <v>427.28399999999999</v>
      </c>
      <c r="I290" s="132">
        <v>58.8</v>
      </c>
      <c r="J290" s="132">
        <f>ROUND(I290*H290,2)</f>
        <v>25124.3</v>
      </c>
      <c r="K290" s="129" t="s">
        <v>148</v>
      </c>
      <c r="L290" s="27"/>
      <c r="M290" s="133" t="s">
        <v>1</v>
      </c>
      <c r="N290" s="134" t="s">
        <v>39</v>
      </c>
      <c r="O290" s="135">
        <v>0.14000000000000001</v>
      </c>
      <c r="P290" s="135">
        <f>O290*H290</f>
        <v>59.819760000000002</v>
      </c>
      <c r="Q290" s="135">
        <v>0</v>
      </c>
      <c r="R290" s="135">
        <f>Q290*H290</f>
        <v>0</v>
      </c>
      <c r="S290" s="135">
        <v>0</v>
      </c>
      <c r="T290" s="136">
        <f>S290*H290</f>
        <v>0</v>
      </c>
      <c r="AR290" s="137" t="s">
        <v>206</v>
      </c>
      <c r="AT290" s="137" t="s">
        <v>144</v>
      </c>
      <c r="AU290" s="137" t="s">
        <v>143</v>
      </c>
      <c r="AY290" s="15" t="s">
        <v>141</v>
      </c>
      <c r="BE290" s="138">
        <f>IF(N290="základní",J290,0)</f>
        <v>0</v>
      </c>
      <c r="BF290" s="138">
        <f>IF(N290="snížená",J290,0)</f>
        <v>25124.3</v>
      </c>
      <c r="BG290" s="138">
        <f>IF(N290="zákl. přenesená",J290,0)</f>
        <v>0</v>
      </c>
      <c r="BH290" s="138">
        <f>IF(N290="sníž. přenesená",J290,0)</f>
        <v>0</v>
      </c>
      <c r="BI290" s="138">
        <f>IF(N290="nulová",J290,0)</f>
        <v>0</v>
      </c>
      <c r="BJ290" s="15" t="s">
        <v>143</v>
      </c>
      <c r="BK290" s="138">
        <f>ROUND(I290*H290,2)</f>
        <v>25124.3</v>
      </c>
      <c r="BL290" s="15" t="s">
        <v>206</v>
      </c>
      <c r="BM290" s="137" t="s">
        <v>637</v>
      </c>
    </row>
    <row r="291" spans="2:65" s="1" customFormat="1" ht="55.5" customHeight="1">
      <c r="B291" s="126"/>
      <c r="C291" s="139" t="s">
        <v>638</v>
      </c>
      <c r="D291" s="139" t="s">
        <v>207</v>
      </c>
      <c r="E291" s="140" t="s">
        <v>639</v>
      </c>
      <c r="F291" s="141" t="s">
        <v>640</v>
      </c>
      <c r="G291" s="142" t="s">
        <v>157</v>
      </c>
      <c r="H291" s="143">
        <v>435.83</v>
      </c>
      <c r="I291" s="144">
        <v>57.65</v>
      </c>
      <c r="J291" s="144">
        <f>ROUND(I291*H291,2)</f>
        <v>25125.599999999999</v>
      </c>
      <c r="K291" s="141" t="s">
        <v>1</v>
      </c>
      <c r="L291" s="145"/>
      <c r="M291" s="146" t="s">
        <v>1</v>
      </c>
      <c r="N291" s="147" t="s">
        <v>39</v>
      </c>
      <c r="O291" s="135">
        <v>0</v>
      </c>
      <c r="P291" s="135">
        <f>O291*H291</f>
        <v>0</v>
      </c>
      <c r="Q291" s="135">
        <v>2.0000000000000001E-4</v>
      </c>
      <c r="R291" s="135">
        <f>Q291*H291</f>
        <v>8.7166000000000007E-2</v>
      </c>
      <c r="S291" s="135">
        <v>0</v>
      </c>
      <c r="T291" s="136">
        <f>S291*H291</f>
        <v>0</v>
      </c>
      <c r="AR291" s="137" t="s">
        <v>274</v>
      </c>
      <c r="AT291" s="137" t="s">
        <v>207</v>
      </c>
      <c r="AU291" s="137" t="s">
        <v>143</v>
      </c>
      <c r="AY291" s="15" t="s">
        <v>141</v>
      </c>
      <c r="BE291" s="138">
        <f>IF(N291="základní",J291,0)</f>
        <v>0</v>
      </c>
      <c r="BF291" s="138">
        <f>IF(N291="snížená",J291,0)</f>
        <v>25125.599999999999</v>
      </c>
      <c r="BG291" s="138">
        <f>IF(N291="zákl. přenesená",J291,0)</f>
        <v>0</v>
      </c>
      <c r="BH291" s="138">
        <f>IF(N291="sníž. přenesená",J291,0)</f>
        <v>0</v>
      </c>
      <c r="BI291" s="138">
        <f>IF(N291="nulová",J291,0)</f>
        <v>0</v>
      </c>
      <c r="BJ291" s="15" t="s">
        <v>143</v>
      </c>
      <c r="BK291" s="138">
        <f>ROUND(I291*H291,2)</f>
        <v>25125.599999999999</v>
      </c>
      <c r="BL291" s="15" t="s">
        <v>206</v>
      </c>
      <c r="BM291" s="137" t="s">
        <v>641</v>
      </c>
    </row>
    <row r="292" spans="2:65" s="12" customFormat="1">
      <c r="B292" s="148"/>
      <c r="D292" s="149" t="s">
        <v>363</v>
      </c>
      <c r="F292" s="150" t="s">
        <v>642</v>
      </c>
      <c r="H292" s="151">
        <v>435.83</v>
      </c>
      <c r="L292" s="148"/>
      <c r="M292" s="152"/>
      <c r="T292" s="153"/>
      <c r="AT292" s="154" t="s">
        <v>363</v>
      </c>
      <c r="AU292" s="154" t="s">
        <v>143</v>
      </c>
      <c r="AV292" s="12" t="s">
        <v>143</v>
      </c>
      <c r="AW292" s="12" t="s">
        <v>3</v>
      </c>
      <c r="AX292" s="12" t="s">
        <v>81</v>
      </c>
      <c r="AY292" s="154" t="s">
        <v>141</v>
      </c>
    </row>
    <row r="293" spans="2:65" s="1" customFormat="1" ht="55.5" customHeight="1">
      <c r="B293" s="126"/>
      <c r="C293" s="139" t="s">
        <v>643</v>
      </c>
      <c r="D293" s="139" t="s">
        <v>207</v>
      </c>
      <c r="E293" s="140" t="s">
        <v>644</v>
      </c>
      <c r="F293" s="141" t="s">
        <v>645</v>
      </c>
      <c r="G293" s="142" t="s">
        <v>157</v>
      </c>
      <c r="H293" s="143">
        <v>435.83</v>
      </c>
      <c r="I293" s="144">
        <v>86.47</v>
      </c>
      <c r="J293" s="144">
        <f>ROUND(I293*H293,2)</f>
        <v>37686.22</v>
      </c>
      <c r="K293" s="141" t="s">
        <v>1</v>
      </c>
      <c r="L293" s="145"/>
      <c r="M293" s="146" t="s">
        <v>1</v>
      </c>
      <c r="N293" s="147" t="s">
        <v>39</v>
      </c>
      <c r="O293" s="135">
        <v>0</v>
      </c>
      <c r="P293" s="135">
        <f>O293*H293</f>
        <v>0</v>
      </c>
      <c r="Q293" s="135">
        <v>4.0000000000000002E-4</v>
      </c>
      <c r="R293" s="135">
        <f>Q293*H293</f>
        <v>0.17433200000000001</v>
      </c>
      <c r="S293" s="135">
        <v>0</v>
      </c>
      <c r="T293" s="136">
        <f>S293*H293</f>
        <v>0</v>
      </c>
      <c r="AR293" s="137" t="s">
        <v>274</v>
      </c>
      <c r="AT293" s="137" t="s">
        <v>207</v>
      </c>
      <c r="AU293" s="137" t="s">
        <v>143</v>
      </c>
      <c r="AY293" s="15" t="s">
        <v>141</v>
      </c>
      <c r="BE293" s="138">
        <f>IF(N293="základní",J293,0)</f>
        <v>0</v>
      </c>
      <c r="BF293" s="138">
        <f>IF(N293="snížená",J293,0)</f>
        <v>37686.22</v>
      </c>
      <c r="BG293" s="138">
        <f>IF(N293="zákl. přenesená",J293,0)</f>
        <v>0</v>
      </c>
      <c r="BH293" s="138">
        <f>IF(N293="sníž. přenesená",J293,0)</f>
        <v>0</v>
      </c>
      <c r="BI293" s="138">
        <f>IF(N293="nulová",J293,0)</f>
        <v>0</v>
      </c>
      <c r="BJ293" s="15" t="s">
        <v>143</v>
      </c>
      <c r="BK293" s="138">
        <f>ROUND(I293*H293,2)</f>
        <v>37686.22</v>
      </c>
      <c r="BL293" s="15" t="s">
        <v>206</v>
      </c>
      <c r="BM293" s="137" t="s">
        <v>646</v>
      </c>
    </row>
    <row r="294" spans="2:65" s="12" customFormat="1">
      <c r="B294" s="148"/>
      <c r="D294" s="149" t="s">
        <v>363</v>
      </c>
      <c r="F294" s="150" t="s">
        <v>642</v>
      </c>
      <c r="H294" s="151">
        <v>435.83</v>
      </c>
      <c r="L294" s="148"/>
      <c r="M294" s="152"/>
      <c r="T294" s="153"/>
      <c r="AT294" s="154" t="s">
        <v>363</v>
      </c>
      <c r="AU294" s="154" t="s">
        <v>143</v>
      </c>
      <c r="AV294" s="12" t="s">
        <v>143</v>
      </c>
      <c r="AW294" s="12" t="s">
        <v>3</v>
      </c>
      <c r="AX294" s="12" t="s">
        <v>81</v>
      </c>
      <c r="AY294" s="154" t="s">
        <v>141</v>
      </c>
    </row>
    <row r="295" spans="2:65" s="1" customFormat="1" ht="24.2" customHeight="1">
      <c r="B295" s="126"/>
      <c r="C295" s="127" t="s">
        <v>647</v>
      </c>
      <c r="D295" s="127" t="s">
        <v>144</v>
      </c>
      <c r="E295" s="128" t="s">
        <v>648</v>
      </c>
      <c r="F295" s="129" t="s">
        <v>649</v>
      </c>
      <c r="G295" s="130" t="s">
        <v>157</v>
      </c>
      <c r="H295" s="131">
        <v>79.254000000000005</v>
      </c>
      <c r="I295" s="132">
        <v>211</v>
      </c>
      <c r="J295" s="132">
        <f>ROUND(I295*H295,2)</f>
        <v>16722.59</v>
      </c>
      <c r="K295" s="129" t="s">
        <v>148</v>
      </c>
      <c r="L295" s="27"/>
      <c r="M295" s="133" t="s">
        <v>1</v>
      </c>
      <c r="N295" s="134" t="s">
        <v>39</v>
      </c>
      <c r="O295" s="135">
        <v>0.21099999999999999</v>
      </c>
      <c r="P295" s="135">
        <f>O295*H295</f>
        <v>16.722594000000001</v>
      </c>
      <c r="Q295" s="135">
        <v>6.0000000000000001E-3</v>
      </c>
      <c r="R295" s="135">
        <f>Q295*H295</f>
        <v>0.47552400000000006</v>
      </c>
      <c r="S295" s="135">
        <v>0</v>
      </c>
      <c r="T295" s="136">
        <f>S295*H295</f>
        <v>0</v>
      </c>
      <c r="AR295" s="137" t="s">
        <v>206</v>
      </c>
      <c r="AT295" s="137" t="s">
        <v>144</v>
      </c>
      <c r="AU295" s="137" t="s">
        <v>143</v>
      </c>
      <c r="AY295" s="15" t="s">
        <v>141</v>
      </c>
      <c r="BE295" s="138">
        <f>IF(N295="základní",J295,0)</f>
        <v>0</v>
      </c>
      <c r="BF295" s="138">
        <f>IF(N295="snížená",J295,0)</f>
        <v>16722.59</v>
      </c>
      <c r="BG295" s="138">
        <f>IF(N295="zákl. přenesená",J295,0)</f>
        <v>0</v>
      </c>
      <c r="BH295" s="138">
        <f>IF(N295="sníž. přenesená",J295,0)</f>
        <v>0</v>
      </c>
      <c r="BI295" s="138">
        <f>IF(N295="nulová",J295,0)</f>
        <v>0</v>
      </c>
      <c r="BJ295" s="15" t="s">
        <v>143</v>
      </c>
      <c r="BK295" s="138">
        <f>ROUND(I295*H295,2)</f>
        <v>16722.59</v>
      </c>
      <c r="BL295" s="15" t="s">
        <v>206</v>
      </c>
      <c r="BM295" s="137" t="s">
        <v>650</v>
      </c>
    </row>
    <row r="296" spans="2:65" s="1" customFormat="1" ht="24.2" customHeight="1">
      <c r="B296" s="126"/>
      <c r="C296" s="139" t="s">
        <v>651</v>
      </c>
      <c r="D296" s="139" t="s">
        <v>207</v>
      </c>
      <c r="E296" s="140" t="s">
        <v>652</v>
      </c>
      <c r="F296" s="141" t="s">
        <v>653</v>
      </c>
      <c r="G296" s="142" t="s">
        <v>157</v>
      </c>
      <c r="H296" s="143">
        <v>83.216999999999999</v>
      </c>
      <c r="I296" s="144">
        <v>791.43</v>
      </c>
      <c r="J296" s="144">
        <f>ROUND(I296*H296,2)</f>
        <v>65860.429999999993</v>
      </c>
      <c r="K296" s="141" t="s">
        <v>1</v>
      </c>
      <c r="L296" s="145"/>
      <c r="M296" s="146" t="s">
        <v>1</v>
      </c>
      <c r="N296" s="147" t="s">
        <v>39</v>
      </c>
      <c r="O296" s="135">
        <v>0</v>
      </c>
      <c r="P296" s="135">
        <f>O296*H296</f>
        <v>0</v>
      </c>
      <c r="Q296" s="135">
        <v>4.0000000000000001E-3</v>
      </c>
      <c r="R296" s="135">
        <f>Q296*H296</f>
        <v>0.332868</v>
      </c>
      <c r="S296" s="135">
        <v>0</v>
      </c>
      <c r="T296" s="136">
        <f>S296*H296</f>
        <v>0</v>
      </c>
      <c r="AR296" s="137" t="s">
        <v>274</v>
      </c>
      <c r="AT296" s="137" t="s">
        <v>207</v>
      </c>
      <c r="AU296" s="137" t="s">
        <v>143</v>
      </c>
      <c r="AY296" s="15" t="s">
        <v>141</v>
      </c>
      <c r="BE296" s="138">
        <f>IF(N296="základní",J296,0)</f>
        <v>0</v>
      </c>
      <c r="BF296" s="138">
        <f>IF(N296="snížená",J296,0)</f>
        <v>65860.429999999993</v>
      </c>
      <c r="BG296" s="138">
        <f>IF(N296="zákl. přenesená",J296,0)</f>
        <v>0</v>
      </c>
      <c r="BH296" s="138">
        <f>IF(N296="sníž. přenesená",J296,0)</f>
        <v>0</v>
      </c>
      <c r="BI296" s="138">
        <f>IF(N296="nulová",J296,0)</f>
        <v>0</v>
      </c>
      <c r="BJ296" s="15" t="s">
        <v>143</v>
      </c>
      <c r="BK296" s="138">
        <f>ROUND(I296*H296,2)</f>
        <v>65860.429999999993</v>
      </c>
      <c r="BL296" s="15" t="s">
        <v>206</v>
      </c>
      <c r="BM296" s="137" t="s">
        <v>654</v>
      </c>
    </row>
    <row r="297" spans="2:65" s="12" customFormat="1">
      <c r="B297" s="148"/>
      <c r="D297" s="149" t="s">
        <v>363</v>
      </c>
      <c r="F297" s="150" t="s">
        <v>655</v>
      </c>
      <c r="H297" s="151">
        <v>83.216999999999999</v>
      </c>
      <c r="L297" s="148"/>
      <c r="M297" s="152"/>
      <c r="T297" s="153"/>
      <c r="AT297" s="154" t="s">
        <v>363</v>
      </c>
      <c r="AU297" s="154" t="s">
        <v>143</v>
      </c>
      <c r="AV297" s="12" t="s">
        <v>143</v>
      </c>
      <c r="AW297" s="12" t="s">
        <v>3</v>
      </c>
      <c r="AX297" s="12" t="s">
        <v>81</v>
      </c>
      <c r="AY297" s="154" t="s">
        <v>141</v>
      </c>
    </row>
    <row r="298" spans="2:65" s="1" customFormat="1" ht="24.2" customHeight="1">
      <c r="B298" s="126"/>
      <c r="C298" s="127" t="s">
        <v>656</v>
      </c>
      <c r="D298" s="127" t="s">
        <v>144</v>
      </c>
      <c r="E298" s="128" t="s">
        <v>657</v>
      </c>
      <c r="F298" s="129" t="s">
        <v>658</v>
      </c>
      <c r="G298" s="130" t="s">
        <v>157</v>
      </c>
      <c r="H298" s="131">
        <v>154.846</v>
      </c>
      <c r="I298" s="132">
        <v>71.400000000000006</v>
      </c>
      <c r="J298" s="132">
        <f>ROUND(I298*H298,2)</f>
        <v>11056</v>
      </c>
      <c r="K298" s="129" t="s">
        <v>148</v>
      </c>
      <c r="L298" s="27"/>
      <c r="M298" s="133" t="s">
        <v>1</v>
      </c>
      <c r="N298" s="134" t="s">
        <v>39</v>
      </c>
      <c r="O298" s="135">
        <v>0.17</v>
      </c>
      <c r="P298" s="135">
        <f>O298*H298</f>
        <v>26.323820000000001</v>
      </c>
      <c r="Q298" s="135">
        <v>0</v>
      </c>
      <c r="R298" s="135">
        <f>Q298*H298</f>
        <v>0</v>
      </c>
      <c r="S298" s="135">
        <v>0</v>
      </c>
      <c r="T298" s="136">
        <f>S298*H298</f>
        <v>0</v>
      </c>
      <c r="AR298" s="137" t="s">
        <v>206</v>
      </c>
      <c r="AT298" s="137" t="s">
        <v>144</v>
      </c>
      <c r="AU298" s="137" t="s">
        <v>143</v>
      </c>
      <c r="AY298" s="15" t="s">
        <v>141</v>
      </c>
      <c r="BE298" s="138">
        <f>IF(N298="základní",J298,0)</f>
        <v>0</v>
      </c>
      <c r="BF298" s="138">
        <f>IF(N298="snížená",J298,0)</f>
        <v>11056</v>
      </c>
      <c r="BG298" s="138">
        <f>IF(N298="zákl. přenesená",J298,0)</f>
        <v>0</v>
      </c>
      <c r="BH298" s="138">
        <f>IF(N298="sníž. přenesená",J298,0)</f>
        <v>0</v>
      </c>
      <c r="BI298" s="138">
        <f>IF(N298="nulová",J298,0)</f>
        <v>0</v>
      </c>
      <c r="BJ298" s="15" t="s">
        <v>143</v>
      </c>
      <c r="BK298" s="138">
        <f>ROUND(I298*H298,2)</f>
        <v>11056</v>
      </c>
      <c r="BL298" s="15" t="s">
        <v>206</v>
      </c>
      <c r="BM298" s="137" t="s">
        <v>659</v>
      </c>
    </row>
    <row r="299" spans="2:65" s="1" customFormat="1" ht="24.2" customHeight="1">
      <c r="B299" s="126"/>
      <c r="C299" s="139" t="s">
        <v>660</v>
      </c>
      <c r="D299" s="139" t="s">
        <v>207</v>
      </c>
      <c r="E299" s="140" t="s">
        <v>661</v>
      </c>
      <c r="F299" s="141" t="s">
        <v>662</v>
      </c>
      <c r="G299" s="142" t="s">
        <v>157</v>
      </c>
      <c r="H299" s="143">
        <v>157.94300000000001</v>
      </c>
      <c r="I299" s="144">
        <v>396</v>
      </c>
      <c r="J299" s="144">
        <f>ROUND(I299*H299,2)</f>
        <v>62545.43</v>
      </c>
      <c r="K299" s="141" t="s">
        <v>148</v>
      </c>
      <c r="L299" s="145"/>
      <c r="M299" s="146" t="s">
        <v>1</v>
      </c>
      <c r="N299" s="147" t="s">
        <v>39</v>
      </c>
      <c r="O299" s="135">
        <v>0</v>
      </c>
      <c r="P299" s="135">
        <f>O299*H299</f>
        <v>0</v>
      </c>
      <c r="Q299" s="135">
        <v>3.7499999999999999E-3</v>
      </c>
      <c r="R299" s="135">
        <f>Q299*H299</f>
        <v>0.59228625000000001</v>
      </c>
      <c r="S299" s="135">
        <v>0</v>
      </c>
      <c r="T299" s="136">
        <f>S299*H299</f>
        <v>0</v>
      </c>
      <c r="AR299" s="137" t="s">
        <v>274</v>
      </c>
      <c r="AT299" s="137" t="s">
        <v>207</v>
      </c>
      <c r="AU299" s="137" t="s">
        <v>143</v>
      </c>
      <c r="AY299" s="15" t="s">
        <v>141</v>
      </c>
      <c r="BE299" s="138">
        <f>IF(N299="základní",J299,0)</f>
        <v>0</v>
      </c>
      <c r="BF299" s="138">
        <f>IF(N299="snížená",J299,0)</f>
        <v>62545.43</v>
      </c>
      <c r="BG299" s="138">
        <f>IF(N299="zákl. přenesená",J299,0)</f>
        <v>0</v>
      </c>
      <c r="BH299" s="138">
        <f>IF(N299="sníž. přenesená",J299,0)</f>
        <v>0</v>
      </c>
      <c r="BI299" s="138">
        <f>IF(N299="nulová",J299,0)</f>
        <v>0</v>
      </c>
      <c r="BJ299" s="15" t="s">
        <v>143</v>
      </c>
      <c r="BK299" s="138">
        <f>ROUND(I299*H299,2)</f>
        <v>62545.43</v>
      </c>
      <c r="BL299" s="15" t="s">
        <v>206</v>
      </c>
      <c r="BM299" s="137" t="s">
        <v>663</v>
      </c>
    </row>
    <row r="300" spans="2:65" s="12" customFormat="1">
      <c r="B300" s="148"/>
      <c r="D300" s="149" t="s">
        <v>363</v>
      </c>
      <c r="F300" s="150" t="s">
        <v>664</v>
      </c>
      <c r="H300" s="151">
        <v>157.94300000000001</v>
      </c>
      <c r="L300" s="148"/>
      <c r="M300" s="152"/>
      <c r="T300" s="153"/>
      <c r="AT300" s="154" t="s">
        <v>363</v>
      </c>
      <c r="AU300" s="154" t="s">
        <v>143</v>
      </c>
      <c r="AV300" s="12" t="s">
        <v>143</v>
      </c>
      <c r="AW300" s="12" t="s">
        <v>3</v>
      </c>
      <c r="AX300" s="12" t="s">
        <v>81</v>
      </c>
      <c r="AY300" s="154" t="s">
        <v>141</v>
      </c>
    </row>
    <row r="301" spans="2:65" s="1" customFormat="1" ht="24.2" customHeight="1">
      <c r="B301" s="126"/>
      <c r="C301" s="139" t="s">
        <v>665</v>
      </c>
      <c r="D301" s="139" t="s">
        <v>207</v>
      </c>
      <c r="E301" s="140" t="s">
        <v>666</v>
      </c>
      <c r="F301" s="141" t="s">
        <v>667</v>
      </c>
      <c r="G301" s="142" t="s">
        <v>157</v>
      </c>
      <c r="H301" s="143">
        <v>157.94300000000001</v>
      </c>
      <c r="I301" s="144">
        <v>528</v>
      </c>
      <c r="J301" s="144">
        <f>ROUND(I301*H301,2)</f>
        <v>83393.899999999994</v>
      </c>
      <c r="K301" s="141" t="s">
        <v>148</v>
      </c>
      <c r="L301" s="145"/>
      <c r="M301" s="146" t="s">
        <v>1</v>
      </c>
      <c r="N301" s="147" t="s">
        <v>39</v>
      </c>
      <c r="O301" s="135">
        <v>0</v>
      </c>
      <c r="P301" s="135">
        <f>O301*H301</f>
        <v>0</v>
      </c>
      <c r="Q301" s="135">
        <v>5.0000000000000001E-3</v>
      </c>
      <c r="R301" s="135">
        <f>Q301*H301</f>
        <v>0.78971500000000006</v>
      </c>
      <c r="S301" s="135">
        <v>0</v>
      </c>
      <c r="T301" s="136">
        <f>S301*H301</f>
        <v>0</v>
      </c>
      <c r="AR301" s="137" t="s">
        <v>274</v>
      </c>
      <c r="AT301" s="137" t="s">
        <v>207</v>
      </c>
      <c r="AU301" s="137" t="s">
        <v>143</v>
      </c>
      <c r="AY301" s="15" t="s">
        <v>141</v>
      </c>
      <c r="BE301" s="138">
        <f>IF(N301="základní",J301,0)</f>
        <v>0</v>
      </c>
      <c r="BF301" s="138">
        <f>IF(N301="snížená",J301,0)</f>
        <v>83393.899999999994</v>
      </c>
      <c r="BG301" s="138">
        <f>IF(N301="zákl. přenesená",J301,0)</f>
        <v>0</v>
      </c>
      <c r="BH301" s="138">
        <f>IF(N301="sníž. přenesená",J301,0)</f>
        <v>0</v>
      </c>
      <c r="BI301" s="138">
        <f>IF(N301="nulová",J301,0)</f>
        <v>0</v>
      </c>
      <c r="BJ301" s="15" t="s">
        <v>143</v>
      </c>
      <c r="BK301" s="138">
        <f>ROUND(I301*H301,2)</f>
        <v>83393.899999999994</v>
      </c>
      <c r="BL301" s="15" t="s">
        <v>206</v>
      </c>
      <c r="BM301" s="137" t="s">
        <v>668</v>
      </c>
    </row>
    <row r="302" spans="2:65" s="12" customFormat="1">
      <c r="B302" s="148"/>
      <c r="D302" s="149" t="s">
        <v>363</v>
      </c>
      <c r="F302" s="150" t="s">
        <v>664</v>
      </c>
      <c r="H302" s="151">
        <v>157.94300000000001</v>
      </c>
      <c r="L302" s="148"/>
      <c r="M302" s="152"/>
      <c r="T302" s="153"/>
      <c r="AT302" s="154" t="s">
        <v>363</v>
      </c>
      <c r="AU302" s="154" t="s">
        <v>143</v>
      </c>
      <c r="AV302" s="12" t="s">
        <v>143</v>
      </c>
      <c r="AW302" s="12" t="s">
        <v>3</v>
      </c>
      <c r="AX302" s="12" t="s">
        <v>81</v>
      </c>
      <c r="AY302" s="154" t="s">
        <v>141</v>
      </c>
    </row>
    <row r="303" spans="2:65" s="1" customFormat="1" ht="24.2" customHeight="1">
      <c r="B303" s="126"/>
      <c r="C303" s="127" t="s">
        <v>669</v>
      </c>
      <c r="D303" s="127" t="s">
        <v>144</v>
      </c>
      <c r="E303" s="128" t="s">
        <v>657</v>
      </c>
      <c r="F303" s="129" t="s">
        <v>658</v>
      </c>
      <c r="G303" s="130" t="s">
        <v>157</v>
      </c>
      <c r="H303" s="131">
        <v>15.391999999999999</v>
      </c>
      <c r="I303" s="132">
        <v>71.400000000000006</v>
      </c>
      <c r="J303" s="132">
        <f>ROUND(I303*H303,2)</f>
        <v>1098.99</v>
      </c>
      <c r="K303" s="129" t="s">
        <v>148</v>
      </c>
      <c r="L303" s="27"/>
      <c r="M303" s="133" t="s">
        <v>1</v>
      </c>
      <c r="N303" s="134" t="s">
        <v>39</v>
      </c>
      <c r="O303" s="135">
        <v>0.17</v>
      </c>
      <c r="P303" s="135">
        <f>O303*H303</f>
        <v>2.6166400000000003</v>
      </c>
      <c r="Q303" s="135">
        <v>0</v>
      </c>
      <c r="R303" s="135">
        <f>Q303*H303</f>
        <v>0</v>
      </c>
      <c r="S303" s="135">
        <v>0</v>
      </c>
      <c r="T303" s="136">
        <f>S303*H303</f>
        <v>0</v>
      </c>
      <c r="AR303" s="137" t="s">
        <v>206</v>
      </c>
      <c r="AT303" s="137" t="s">
        <v>144</v>
      </c>
      <c r="AU303" s="137" t="s">
        <v>143</v>
      </c>
      <c r="AY303" s="15" t="s">
        <v>141</v>
      </c>
      <c r="BE303" s="138">
        <f>IF(N303="základní",J303,0)</f>
        <v>0</v>
      </c>
      <c r="BF303" s="138">
        <f>IF(N303="snížená",J303,0)</f>
        <v>1098.99</v>
      </c>
      <c r="BG303" s="138">
        <f>IF(N303="zákl. přenesená",J303,0)</f>
        <v>0</v>
      </c>
      <c r="BH303" s="138">
        <f>IF(N303="sníž. přenesená",J303,0)</f>
        <v>0</v>
      </c>
      <c r="BI303" s="138">
        <f>IF(N303="nulová",J303,0)</f>
        <v>0</v>
      </c>
      <c r="BJ303" s="15" t="s">
        <v>143</v>
      </c>
      <c r="BK303" s="138">
        <f>ROUND(I303*H303,2)</f>
        <v>1098.99</v>
      </c>
      <c r="BL303" s="15" t="s">
        <v>206</v>
      </c>
      <c r="BM303" s="137" t="s">
        <v>670</v>
      </c>
    </row>
    <row r="304" spans="2:65" s="1" customFormat="1" ht="24.2" customHeight="1">
      <c r="B304" s="126"/>
      <c r="C304" s="139" t="s">
        <v>671</v>
      </c>
      <c r="D304" s="139" t="s">
        <v>207</v>
      </c>
      <c r="E304" s="140" t="s">
        <v>672</v>
      </c>
      <c r="F304" s="141" t="s">
        <v>673</v>
      </c>
      <c r="G304" s="142" t="s">
        <v>157</v>
      </c>
      <c r="H304" s="143">
        <v>15.7</v>
      </c>
      <c r="I304" s="144">
        <v>529</v>
      </c>
      <c r="J304" s="144">
        <f>ROUND(I304*H304,2)</f>
        <v>8305.2999999999993</v>
      </c>
      <c r="K304" s="141" t="s">
        <v>148</v>
      </c>
      <c r="L304" s="145"/>
      <c r="M304" s="146" t="s">
        <v>1</v>
      </c>
      <c r="N304" s="147" t="s">
        <v>39</v>
      </c>
      <c r="O304" s="135">
        <v>0</v>
      </c>
      <c r="P304" s="135">
        <f>O304*H304</f>
        <v>0</v>
      </c>
      <c r="Q304" s="135">
        <v>3.0000000000000001E-3</v>
      </c>
      <c r="R304" s="135">
        <f>Q304*H304</f>
        <v>4.7099999999999996E-2</v>
      </c>
      <c r="S304" s="135">
        <v>0</v>
      </c>
      <c r="T304" s="136">
        <f>S304*H304</f>
        <v>0</v>
      </c>
      <c r="AR304" s="137" t="s">
        <v>274</v>
      </c>
      <c r="AT304" s="137" t="s">
        <v>207</v>
      </c>
      <c r="AU304" s="137" t="s">
        <v>143</v>
      </c>
      <c r="AY304" s="15" t="s">
        <v>141</v>
      </c>
      <c r="BE304" s="138">
        <f>IF(N304="základní",J304,0)</f>
        <v>0</v>
      </c>
      <c r="BF304" s="138">
        <f>IF(N304="snížená",J304,0)</f>
        <v>8305.2999999999993</v>
      </c>
      <c r="BG304" s="138">
        <f>IF(N304="zákl. přenesená",J304,0)</f>
        <v>0</v>
      </c>
      <c r="BH304" s="138">
        <f>IF(N304="sníž. přenesená",J304,0)</f>
        <v>0</v>
      </c>
      <c r="BI304" s="138">
        <f>IF(N304="nulová",J304,0)</f>
        <v>0</v>
      </c>
      <c r="BJ304" s="15" t="s">
        <v>143</v>
      </c>
      <c r="BK304" s="138">
        <f>ROUND(I304*H304,2)</f>
        <v>8305.2999999999993</v>
      </c>
      <c r="BL304" s="15" t="s">
        <v>206</v>
      </c>
      <c r="BM304" s="137" t="s">
        <v>674</v>
      </c>
    </row>
    <row r="305" spans="2:65" s="12" customFormat="1">
      <c r="B305" s="148"/>
      <c r="D305" s="149" t="s">
        <v>363</v>
      </c>
      <c r="F305" s="150" t="s">
        <v>675</v>
      </c>
      <c r="H305" s="151">
        <v>15.7</v>
      </c>
      <c r="L305" s="148"/>
      <c r="M305" s="152"/>
      <c r="T305" s="153"/>
      <c r="AT305" s="154" t="s">
        <v>363</v>
      </c>
      <c r="AU305" s="154" t="s">
        <v>143</v>
      </c>
      <c r="AV305" s="12" t="s">
        <v>143</v>
      </c>
      <c r="AW305" s="12" t="s">
        <v>3</v>
      </c>
      <c r="AX305" s="12" t="s">
        <v>81</v>
      </c>
      <c r="AY305" s="154" t="s">
        <v>141</v>
      </c>
    </row>
    <row r="306" spans="2:65" s="1" customFormat="1" ht="24.2" customHeight="1">
      <c r="B306" s="126"/>
      <c r="C306" s="139" t="s">
        <v>676</v>
      </c>
      <c r="D306" s="139" t="s">
        <v>207</v>
      </c>
      <c r="E306" s="140" t="s">
        <v>677</v>
      </c>
      <c r="F306" s="141" t="s">
        <v>678</v>
      </c>
      <c r="G306" s="142" t="s">
        <v>157</v>
      </c>
      <c r="H306" s="143">
        <v>15.7</v>
      </c>
      <c r="I306" s="144">
        <v>633</v>
      </c>
      <c r="J306" s="144">
        <f>ROUND(I306*H306,2)</f>
        <v>9938.1</v>
      </c>
      <c r="K306" s="141" t="s">
        <v>148</v>
      </c>
      <c r="L306" s="145"/>
      <c r="M306" s="146" t="s">
        <v>1</v>
      </c>
      <c r="N306" s="147" t="s">
        <v>39</v>
      </c>
      <c r="O306" s="135">
        <v>0</v>
      </c>
      <c r="P306" s="135">
        <f>O306*H306</f>
        <v>0</v>
      </c>
      <c r="Q306" s="135">
        <v>3.5999999999999999E-3</v>
      </c>
      <c r="R306" s="135">
        <f>Q306*H306</f>
        <v>5.6519999999999994E-2</v>
      </c>
      <c r="S306" s="135">
        <v>0</v>
      </c>
      <c r="T306" s="136">
        <f>S306*H306</f>
        <v>0</v>
      </c>
      <c r="AR306" s="137" t="s">
        <v>274</v>
      </c>
      <c r="AT306" s="137" t="s">
        <v>207</v>
      </c>
      <c r="AU306" s="137" t="s">
        <v>143</v>
      </c>
      <c r="AY306" s="15" t="s">
        <v>141</v>
      </c>
      <c r="BE306" s="138">
        <f>IF(N306="základní",J306,0)</f>
        <v>0</v>
      </c>
      <c r="BF306" s="138">
        <f>IF(N306="snížená",J306,0)</f>
        <v>9938.1</v>
      </c>
      <c r="BG306" s="138">
        <f>IF(N306="zákl. přenesená",J306,0)</f>
        <v>0</v>
      </c>
      <c r="BH306" s="138">
        <f>IF(N306="sníž. přenesená",J306,0)</f>
        <v>0</v>
      </c>
      <c r="BI306" s="138">
        <f>IF(N306="nulová",J306,0)</f>
        <v>0</v>
      </c>
      <c r="BJ306" s="15" t="s">
        <v>143</v>
      </c>
      <c r="BK306" s="138">
        <f>ROUND(I306*H306,2)</f>
        <v>9938.1</v>
      </c>
      <c r="BL306" s="15" t="s">
        <v>206</v>
      </c>
      <c r="BM306" s="137" t="s">
        <v>679</v>
      </c>
    </row>
    <row r="307" spans="2:65" s="12" customFormat="1">
      <c r="B307" s="148"/>
      <c r="D307" s="149" t="s">
        <v>363</v>
      </c>
      <c r="F307" s="150" t="s">
        <v>675</v>
      </c>
      <c r="H307" s="151">
        <v>15.7</v>
      </c>
      <c r="L307" s="148"/>
      <c r="M307" s="152"/>
      <c r="T307" s="153"/>
      <c r="AT307" s="154" t="s">
        <v>363</v>
      </c>
      <c r="AU307" s="154" t="s">
        <v>143</v>
      </c>
      <c r="AV307" s="12" t="s">
        <v>143</v>
      </c>
      <c r="AW307" s="12" t="s">
        <v>3</v>
      </c>
      <c r="AX307" s="12" t="s">
        <v>81</v>
      </c>
      <c r="AY307" s="154" t="s">
        <v>141</v>
      </c>
    </row>
    <row r="308" spans="2:65" s="1" customFormat="1" ht="24.2" customHeight="1">
      <c r="B308" s="126"/>
      <c r="C308" s="139" t="s">
        <v>680</v>
      </c>
      <c r="D308" s="139" t="s">
        <v>207</v>
      </c>
      <c r="E308" s="140" t="s">
        <v>681</v>
      </c>
      <c r="F308" s="141" t="s">
        <v>682</v>
      </c>
      <c r="G308" s="142" t="s">
        <v>157</v>
      </c>
      <c r="H308" s="143">
        <v>15.7</v>
      </c>
      <c r="I308" s="144">
        <v>133</v>
      </c>
      <c r="J308" s="144">
        <f>ROUND(I308*H308,2)</f>
        <v>2088.1</v>
      </c>
      <c r="K308" s="141" t="s">
        <v>148</v>
      </c>
      <c r="L308" s="145"/>
      <c r="M308" s="146" t="s">
        <v>1</v>
      </c>
      <c r="N308" s="147" t="s">
        <v>39</v>
      </c>
      <c r="O308" s="135">
        <v>0</v>
      </c>
      <c r="P308" s="135">
        <f>O308*H308</f>
        <v>0</v>
      </c>
      <c r="Q308" s="135">
        <v>1.4E-3</v>
      </c>
      <c r="R308" s="135">
        <f>Q308*H308</f>
        <v>2.198E-2</v>
      </c>
      <c r="S308" s="135">
        <v>0</v>
      </c>
      <c r="T308" s="136">
        <f>S308*H308</f>
        <v>0</v>
      </c>
      <c r="AR308" s="137" t="s">
        <v>274</v>
      </c>
      <c r="AT308" s="137" t="s">
        <v>207</v>
      </c>
      <c r="AU308" s="137" t="s">
        <v>143</v>
      </c>
      <c r="AY308" s="15" t="s">
        <v>141</v>
      </c>
      <c r="BE308" s="138">
        <f>IF(N308="základní",J308,0)</f>
        <v>0</v>
      </c>
      <c r="BF308" s="138">
        <f>IF(N308="snížená",J308,0)</f>
        <v>2088.1</v>
      </c>
      <c r="BG308" s="138">
        <f>IF(N308="zákl. přenesená",J308,0)</f>
        <v>0</v>
      </c>
      <c r="BH308" s="138">
        <f>IF(N308="sníž. přenesená",J308,0)</f>
        <v>0</v>
      </c>
      <c r="BI308" s="138">
        <f>IF(N308="nulová",J308,0)</f>
        <v>0</v>
      </c>
      <c r="BJ308" s="15" t="s">
        <v>143</v>
      </c>
      <c r="BK308" s="138">
        <f>ROUND(I308*H308,2)</f>
        <v>2088.1</v>
      </c>
      <c r="BL308" s="15" t="s">
        <v>206</v>
      </c>
      <c r="BM308" s="137" t="s">
        <v>683</v>
      </c>
    </row>
    <row r="309" spans="2:65" s="12" customFormat="1">
      <c r="B309" s="148"/>
      <c r="D309" s="149" t="s">
        <v>363</v>
      </c>
      <c r="F309" s="150" t="s">
        <v>675</v>
      </c>
      <c r="H309" s="151">
        <v>15.7</v>
      </c>
      <c r="L309" s="148"/>
      <c r="M309" s="152"/>
      <c r="T309" s="153"/>
      <c r="AT309" s="154" t="s">
        <v>363</v>
      </c>
      <c r="AU309" s="154" t="s">
        <v>143</v>
      </c>
      <c r="AV309" s="12" t="s">
        <v>143</v>
      </c>
      <c r="AW309" s="12" t="s">
        <v>3</v>
      </c>
      <c r="AX309" s="12" t="s">
        <v>81</v>
      </c>
      <c r="AY309" s="154" t="s">
        <v>141</v>
      </c>
    </row>
    <row r="310" spans="2:65" s="1" customFormat="1" ht="24.2" customHeight="1">
      <c r="B310" s="126"/>
      <c r="C310" s="127" t="s">
        <v>684</v>
      </c>
      <c r="D310" s="127" t="s">
        <v>144</v>
      </c>
      <c r="E310" s="128" t="s">
        <v>685</v>
      </c>
      <c r="F310" s="129" t="s">
        <v>686</v>
      </c>
      <c r="G310" s="130" t="s">
        <v>157</v>
      </c>
      <c r="H310" s="131">
        <v>746.93399999999997</v>
      </c>
      <c r="I310" s="132">
        <v>50.4</v>
      </c>
      <c r="J310" s="132">
        <f>ROUND(I310*H310,2)</f>
        <v>37645.47</v>
      </c>
      <c r="K310" s="129" t="s">
        <v>148</v>
      </c>
      <c r="L310" s="27"/>
      <c r="M310" s="133" t="s">
        <v>1</v>
      </c>
      <c r="N310" s="134" t="s">
        <v>39</v>
      </c>
      <c r="O310" s="135">
        <v>0.1</v>
      </c>
      <c r="P310" s="135">
        <f>O310*H310</f>
        <v>74.693399999999997</v>
      </c>
      <c r="Q310" s="135">
        <v>0</v>
      </c>
      <c r="R310" s="135">
        <f>Q310*H310</f>
        <v>0</v>
      </c>
      <c r="S310" s="135">
        <v>0</v>
      </c>
      <c r="T310" s="136">
        <f>S310*H310</f>
        <v>0</v>
      </c>
      <c r="AR310" s="137" t="s">
        <v>206</v>
      </c>
      <c r="AT310" s="137" t="s">
        <v>144</v>
      </c>
      <c r="AU310" s="137" t="s">
        <v>143</v>
      </c>
      <c r="AY310" s="15" t="s">
        <v>141</v>
      </c>
      <c r="BE310" s="138">
        <f>IF(N310="základní",J310,0)</f>
        <v>0</v>
      </c>
      <c r="BF310" s="138">
        <f>IF(N310="snížená",J310,0)</f>
        <v>37645.47</v>
      </c>
      <c r="BG310" s="138">
        <f>IF(N310="zákl. přenesená",J310,0)</f>
        <v>0</v>
      </c>
      <c r="BH310" s="138">
        <f>IF(N310="sníž. přenesená",J310,0)</f>
        <v>0</v>
      </c>
      <c r="BI310" s="138">
        <f>IF(N310="nulová",J310,0)</f>
        <v>0</v>
      </c>
      <c r="BJ310" s="15" t="s">
        <v>143</v>
      </c>
      <c r="BK310" s="138">
        <f>ROUND(I310*H310,2)</f>
        <v>37645.47</v>
      </c>
      <c r="BL310" s="15" t="s">
        <v>206</v>
      </c>
      <c r="BM310" s="137" t="s">
        <v>687</v>
      </c>
    </row>
    <row r="311" spans="2:65" s="1" customFormat="1" ht="24.2" customHeight="1">
      <c r="B311" s="126"/>
      <c r="C311" s="139" t="s">
        <v>688</v>
      </c>
      <c r="D311" s="139" t="s">
        <v>207</v>
      </c>
      <c r="E311" s="140" t="s">
        <v>689</v>
      </c>
      <c r="F311" s="141" t="s">
        <v>690</v>
      </c>
      <c r="G311" s="142" t="s">
        <v>157</v>
      </c>
      <c r="H311" s="143">
        <v>761.87300000000005</v>
      </c>
      <c r="I311" s="144">
        <v>840</v>
      </c>
      <c r="J311" s="144">
        <f>ROUND(I311*H311,2)</f>
        <v>639973.31999999995</v>
      </c>
      <c r="K311" s="141" t="s">
        <v>148</v>
      </c>
      <c r="L311" s="145"/>
      <c r="M311" s="146" t="s">
        <v>1</v>
      </c>
      <c r="N311" s="147" t="s">
        <v>39</v>
      </c>
      <c r="O311" s="135">
        <v>0</v>
      </c>
      <c r="P311" s="135">
        <f>O311*H311</f>
        <v>0</v>
      </c>
      <c r="Q311" s="135">
        <v>4.7999999999999996E-3</v>
      </c>
      <c r="R311" s="135">
        <f>Q311*H311</f>
        <v>3.6569903999999998</v>
      </c>
      <c r="S311" s="135">
        <v>0</v>
      </c>
      <c r="T311" s="136">
        <f>S311*H311</f>
        <v>0</v>
      </c>
      <c r="AR311" s="137" t="s">
        <v>274</v>
      </c>
      <c r="AT311" s="137" t="s">
        <v>207</v>
      </c>
      <c r="AU311" s="137" t="s">
        <v>143</v>
      </c>
      <c r="AY311" s="15" t="s">
        <v>141</v>
      </c>
      <c r="BE311" s="138">
        <f>IF(N311="základní",J311,0)</f>
        <v>0</v>
      </c>
      <c r="BF311" s="138">
        <f>IF(N311="snížená",J311,0)</f>
        <v>639973.31999999995</v>
      </c>
      <c r="BG311" s="138">
        <f>IF(N311="zákl. přenesená",J311,0)</f>
        <v>0</v>
      </c>
      <c r="BH311" s="138">
        <f>IF(N311="sníž. přenesená",J311,0)</f>
        <v>0</v>
      </c>
      <c r="BI311" s="138">
        <f>IF(N311="nulová",J311,0)</f>
        <v>0</v>
      </c>
      <c r="BJ311" s="15" t="s">
        <v>143</v>
      </c>
      <c r="BK311" s="138">
        <f>ROUND(I311*H311,2)</f>
        <v>639973.31999999995</v>
      </c>
      <c r="BL311" s="15" t="s">
        <v>206</v>
      </c>
      <c r="BM311" s="137" t="s">
        <v>691</v>
      </c>
    </row>
    <row r="312" spans="2:65" s="12" customFormat="1">
      <c r="B312" s="148"/>
      <c r="D312" s="149" t="s">
        <v>363</v>
      </c>
      <c r="F312" s="150" t="s">
        <v>692</v>
      </c>
      <c r="H312" s="151">
        <v>761.87300000000005</v>
      </c>
      <c r="L312" s="148"/>
      <c r="M312" s="152"/>
      <c r="T312" s="153"/>
      <c r="AT312" s="154" t="s">
        <v>363</v>
      </c>
      <c r="AU312" s="154" t="s">
        <v>143</v>
      </c>
      <c r="AV312" s="12" t="s">
        <v>143</v>
      </c>
      <c r="AW312" s="12" t="s">
        <v>3</v>
      </c>
      <c r="AX312" s="12" t="s">
        <v>81</v>
      </c>
      <c r="AY312" s="154" t="s">
        <v>141</v>
      </c>
    </row>
    <row r="313" spans="2:65" s="1" customFormat="1" ht="24.2" customHeight="1">
      <c r="B313" s="126"/>
      <c r="C313" s="127" t="s">
        <v>693</v>
      </c>
      <c r="D313" s="127" t="s">
        <v>144</v>
      </c>
      <c r="E313" s="128" t="s">
        <v>694</v>
      </c>
      <c r="F313" s="129" t="s">
        <v>695</v>
      </c>
      <c r="G313" s="130" t="s">
        <v>157</v>
      </c>
      <c r="H313" s="131">
        <v>746.93399999999997</v>
      </c>
      <c r="I313" s="132">
        <v>45.4</v>
      </c>
      <c r="J313" s="132">
        <f>ROUND(I313*H313,2)</f>
        <v>33910.800000000003</v>
      </c>
      <c r="K313" s="129" t="s">
        <v>148</v>
      </c>
      <c r="L313" s="27"/>
      <c r="M313" s="133" t="s">
        <v>1</v>
      </c>
      <c r="N313" s="134" t="s">
        <v>39</v>
      </c>
      <c r="O313" s="135">
        <v>0.09</v>
      </c>
      <c r="P313" s="135">
        <f>O313*H313</f>
        <v>67.224059999999994</v>
      </c>
      <c r="Q313" s="135">
        <v>0</v>
      </c>
      <c r="R313" s="135">
        <f>Q313*H313</f>
        <v>0</v>
      </c>
      <c r="S313" s="135">
        <v>0</v>
      </c>
      <c r="T313" s="136">
        <f>S313*H313</f>
        <v>0</v>
      </c>
      <c r="AR313" s="137" t="s">
        <v>206</v>
      </c>
      <c r="AT313" s="137" t="s">
        <v>144</v>
      </c>
      <c r="AU313" s="137" t="s">
        <v>143</v>
      </c>
      <c r="AY313" s="15" t="s">
        <v>141</v>
      </c>
      <c r="BE313" s="138">
        <f>IF(N313="základní",J313,0)</f>
        <v>0</v>
      </c>
      <c r="BF313" s="138">
        <f>IF(N313="snížená",J313,0)</f>
        <v>33910.800000000003</v>
      </c>
      <c r="BG313" s="138">
        <f>IF(N313="zákl. přenesená",J313,0)</f>
        <v>0</v>
      </c>
      <c r="BH313" s="138">
        <f>IF(N313="sníž. přenesená",J313,0)</f>
        <v>0</v>
      </c>
      <c r="BI313" s="138">
        <f>IF(N313="nulová",J313,0)</f>
        <v>0</v>
      </c>
      <c r="BJ313" s="15" t="s">
        <v>143</v>
      </c>
      <c r="BK313" s="138">
        <f>ROUND(I313*H313,2)</f>
        <v>33910.800000000003</v>
      </c>
      <c r="BL313" s="15" t="s">
        <v>206</v>
      </c>
      <c r="BM313" s="137" t="s">
        <v>696</v>
      </c>
    </row>
    <row r="314" spans="2:65" s="1" customFormat="1" ht="44.25" customHeight="1">
      <c r="B314" s="126"/>
      <c r="C314" s="139" t="s">
        <v>697</v>
      </c>
      <c r="D314" s="139" t="s">
        <v>207</v>
      </c>
      <c r="E314" s="140" t="s">
        <v>698</v>
      </c>
      <c r="F314" s="141" t="s">
        <v>699</v>
      </c>
      <c r="G314" s="142" t="s">
        <v>157</v>
      </c>
      <c r="H314" s="143">
        <v>761.87300000000005</v>
      </c>
      <c r="I314" s="144">
        <v>281.44</v>
      </c>
      <c r="J314" s="144">
        <f>ROUND(I314*H314,2)</f>
        <v>214421.54</v>
      </c>
      <c r="K314" s="141" t="s">
        <v>1</v>
      </c>
      <c r="L314" s="145"/>
      <c r="M314" s="146" t="s">
        <v>1</v>
      </c>
      <c r="N314" s="147" t="s">
        <v>39</v>
      </c>
      <c r="O314" s="135">
        <v>0</v>
      </c>
      <c r="P314" s="135">
        <f>O314*H314</f>
        <v>0</v>
      </c>
      <c r="Q314" s="135">
        <v>5.0000000000000001E-3</v>
      </c>
      <c r="R314" s="135">
        <f>Q314*H314</f>
        <v>3.8093650000000001</v>
      </c>
      <c r="S314" s="135">
        <v>0</v>
      </c>
      <c r="T314" s="136">
        <f>S314*H314</f>
        <v>0</v>
      </c>
      <c r="AR314" s="137" t="s">
        <v>274</v>
      </c>
      <c r="AT314" s="137" t="s">
        <v>207</v>
      </c>
      <c r="AU314" s="137" t="s">
        <v>143</v>
      </c>
      <c r="AY314" s="15" t="s">
        <v>141</v>
      </c>
      <c r="BE314" s="138">
        <f>IF(N314="základní",J314,0)</f>
        <v>0</v>
      </c>
      <c r="BF314" s="138">
        <f>IF(N314="snížená",J314,0)</f>
        <v>214421.54</v>
      </c>
      <c r="BG314" s="138">
        <f>IF(N314="zákl. přenesená",J314,0)</f>
        <v>0</v>
      </c>
      <c r="BH314" s="138">
        <f>IF(N314="sníž. přenesená",J314,0)</f>
        <v>0</v>
      </c>
      <c r="BI314" s="138">
        <f>IF(N314="nulová",J314,0)</f>
        <v>0</v>
      </c>
      <c r="BJ314" s="15" t="s">
        <v>143</v>
      </c>
      <c r="BK314" s="138">
        <f>ROUND(I314*H314,2)</f>
        <v>214421.54</v>
      </c>
      <c r="BL314" s="15" t="s">
        <v>206</v>
      </c>
      <c r="BM314" s="137" t="s">
        <v>700</v>
      </c>
    </row>
    <row r="315" spans="2:65" s="12" customFormat="1">
      <c r="B315" s="148"/>
      <c r="D315" s="149" t="s">
        <v>363</v>
      </c>
      <c r="F315" s="150" t="s">
        <v>692</v>
      </c>
      <c r="H315" s="151">
        <v>761.87300000000005</v>
      </c>
      <c r="L315" s="148"/>
      <c r="M315" s="152"/>
      <c r="T315" s="153"/>
      <c r="AT315" s="154" t="s">
        <v>363</v>
      </c>
      <c r="AU315" s="154" t="s">
        <v>143</v>
      </c>
      <c r="AV315" s="12" t="s">
        <v>143</v>
      </c>
      <c r="AW315" s="12" t="s">
        <v>3</v>
      </c>
      <c r="AX315" s="12" t="s">
        <v>81</v>
      </c>
      <c r="AY315" s="154" t="s">
        <v>141</v>
      </c>
    </row>
    <row r="316" spans="2:65" s="1" customFormat="1" ht="24.2" customHeight="1">
      <c r="B316" s="126"/>
      <c r="C316" s="127" t="s">
        <v>701</v>
      </c>
      <c r="D316" s="127" t="s">
        <v>144</v>
      </c>
      <c r="E316" s="128" t="s">
        <v>702</v>
      </c>
      <c r="F316" s="129" t="s">
        <v>703</v>
      </c>
      <c r="G316" s="130" t="s">
        <v>565</v>
      </c>
      <c r="H316" s="131">
        <v>12748.960999999999</v>
      </c>
      <c r="I316" s="132">
        <v>1.95</v>
      </c>
      <c r="J316" s="132">
        <f>ROUND(I316*H316,2)</f>
        <v>24860.47</v>
      </c>
      <c r="K316" s="129" t="s">
        <v>148</v>
      </c>
      <c r="L316" s="27"/>
      <c r="M316" s="133" t="s">
        <v>1</v>
      </c>
      <c r="N316" s="134" t="s">
        <v>39</v>
      </c>
      <c r="O316" s="135">
        <v>0</v>
      </c>
      <c r="P316" s="135">
        <f>O316*H316</f>
        <v>0</v>
      </c>
      <c r="Q316" s="135">
        <v>0</v>
      </c>
      <c r="R316" s="135">
        <f>Q316*H316</f>
        <v>0</v>
      </c>
      <c r="S316" s="135">
        <v>0</v>
      </c>
      <c r="T316" s="136">
        <f>S316*H316</f>
        <v>0</v>
      </c>
      <c r="AR316" s="137" t="s">
        <v>206</v>
      </c>
      <c r="AT316" s="137" t="s">
        <v>144</v>
      </c>
      <c r="AU316" s="137" t="s">
        <v>143</v>
      </c>
      <c r="AY316" s="15" t="s">
        <v>141</v>
      </c>
      <c r="BE316" s="138">
        <f>IF(N316="základní",J316,0)</f>
        <v>0</v>
      </c>
      <c r="BF316" s="138">
        <f>IF(N316="snížená",J316,0)</f>
        <v>24860.47</v>
      </c>
      <c r="BG316" s="138">
        <f>IF(N316="zákl. přenesená",J316,0)</f>
        <v>0</v>
      </c>
      <c r="BH316" s="138">
        <f>IF(N316="sníž. přenesená",J316,0)</f>
        <v>0</v>
      </c>
      <c r="BI316" s="138">
        <f>IF(N316="nulová",J316,0)</f>
        <v>0</v>
      </c>
      <c r="BJ316" s="15" t="s">
        <v>143</v>
      </c>
      <c r="BK316" s="138">
        <f>ROUND(I316*H316,2)</f>
        <v>24860.47</v>
      </c>
      <c r="BL316" s="15" t="s">
        <v>206</v>
      </c>
      <c r="BM316" s="137" t="s">
        <v>704</v>
      </c>
    </row>
    <row r="317" spans="2:65" s="11" customFormat="1" ht="22.9" customHeight="1">
      <c r="B317" s="115"/>
      <c r="D317" s="116" t="s">
        <v>72</v>
      </c>
      <c r="E317" s="124" t="s">
        <v>705</v>
      </c>
      <c r="F317" s="124" t="s">
        <v>706</v>
      </c>
      <c r="J317" s="125">
        <f>BK317</f>
        <v>2113324.4500000002</v>
      </c>
      <c r="L317" s="115"/>
      <c r="M317" s="119"/>
      <c r="P317" s="120">
        <f>SUM(P318:P324)</f>
        <v>0</v>
      </c>
      <c r="R317" s="120">
        <f>SUM(R318:R324)</f>
        <v>0</v>
      </c>
      <c r="T317" s="121">
        <f>SUM(T318:T324)</f>
        <v>0</v>
      </c>
      <c r="AR317" s="116" t="s">
        <v>143</v>
      </c>
      <c r="AT317" s="122" t="s">
        <v>72</v>
      </c>
      <c r="AU317" s="122" t="s">
        <v>81</v>
      </c>
      <c r="AY317" s="116" t="s">
        <v>141</v>
      </c>
      <c r="BK317" s="123">
        <f>SUM(BK318:BK324)</f>
        <v>2113324.4500000002</v>
      </c>
    </row>
    <row r="318" spans="2:65" s="1" customFormat="1" ht="24.2" customHeight="1">
      <c r="B318" s="126"/>
      <c r="C318" s="127" t="s">
        <v>707</v>
      </c>
      <c r="D318" s="127" t="s">
        <v>144</v>
      </c>
      <c r="E318" s="128" t="s">
        <v>708</v>
      </c>
      <c r="F318" s="129" t="s">
        <v>709</v>
      </c>
      <c r="G318" s="130" t="s">
        <v>429</v>
      </c>
      <c r="H318" s="131">
        <v>1</v>
      </c>
      <c r="I318" s="132">
        <v>1811762.55</v>
      </c>
      <c r="J318" s="132">
        <f t="shared" ref="J318:J324" si="60">ROUND(I318*H318,2)</f>
        <v>1811762.55</v>
      </c>
      <c r="K318" s="129" t="s">
        <v>1</v>
      </c>
      <c r="L318" s="27"/>
      <c r="M318" s="133" t="s">
        <v>1</v>
      </c>
      <c r="N318" s="134" t="s">
        <v>39</v>
      </c>
      <c r="O318" s="135">
        <v>0</v>
      </c>
      <c r="P318" s="135">
        <f t="shared" ref="P318:P324" si="61">O318*H318</f>
        <v>0</v>
      </c>
      <c r="Q318" s="135">
        <v>0</v>
      </c>
      <c r="R318" s="135">
        <f t="shared" ref="R318:R324" si="62">Q318*H318</f>
        <v>0</v>
      </c>
      <c r="S318" s="135">
        <v>0</v>
      </c>
      <c r="T318" s="136">
        <f t="shared" ref="T318:T324" si="63">S318*H318</f>
        <v>0</v>
      </c>
      <c r="AR318" s="137" t="s">
        <v>206</v>
      </c>
      <c r="AT318" s="137" t="s">
        <v>144</v>
      </c>
      <c r="AU318" s="137" t="s">
        <v>143</v>
      </c>
      <c r="AY318" s="15" t="s">
        <v>141</v>
      </c>
      <c r="BE318" s="138">
        <f t="shared" ref="BE318:BE324" si="64">IF(N318="základní",J318,0)</f>
        <v>0</v>
      </c>
      <c r="BF318" s="138">
        <f t="shared" ref="BF318:BF324" si="65">IF(N318="snížená",J318,0)</f>
        <v>1811762.55</v>
      </c>
      <c r="BG318" s="138">
        <f t="shared" ref="BG318:BG324" si="66">IF(N318="zákl. přenesená",J318,0)</f>
        <v>0</v>
      </c>
      <c r="BH318" s="138">
        <f t="shared" ref="BH318:BH324" si="67">IF(N318="sníž. přenesená",J318,0)</f>
        <v>0</v>
      </c>
      <c r="BI318" s="138">
        <f t="shared" ref="BI318:BI324" si="68">IF(N318="nulová",J318,0)</f>
        <v>0</v>
      </c>
      <c r="BJ318" s="15" t="s">
        <v>143</v>
      </c>
      <c r="BK318" s="138">
        <f t="shared" ref="BK318:BK324" si="69">ROUND(I318*H318,2)</f>
        <v>1811762.55</v>
      </c>
      <c r="BL318" s="15" t="s">
        <v>206</v>
      </c>
      <c r="BM318" s="137" t="s">
        <v>710</v>
      </c>
    </row>
    <row r="319" spans="2:65" s="1" customFormat="1" ht="16.5" customHeight="1">
      <c r="B319" s="126"/>
      <c r="C319" s="127" t="s">
        <v>711</v>
      </c>
      <c r="D319" s="127" t="s">
        <v>144</v>
      </c>
      <c r="E319" s="128" t="s">
        <v>712</v>
      </c>
      <c r="F319" s="129" t="s">
        <v>713</v>
      </c>
      <c r="G319" s="130" t="s">
        <v>429</v>
      </c>
      <c r="H319" s="131">
        <v>0</v>
      </c>
      <c r="I319" s="132">
        <v>0</v>
      </c>
      <c r="J319" s="132">
        <f t="shared" si="60"/>
        <v>0</v>
      </c>
      <c r="K319" s="129" t="s">
        <v>1</v>
      </c>
      <c r="L319" s="27"/>
      <c r="M319" s="133" t="s">
        <v>1</v>
      </c>
      <c r="N319" s="134" t="s">
        <v>39</v>
      </c>
      <c r="O319" s="135">
        <v>0</v>
      </c>
      <c r="P319" s="135">
        <f t="shared" si="61"/>
        <v>0</v>
      </c>
      <c r="Q319" s="135">
        <v>0</v>
      </c>
      <c r="R319" s="135">
        <f t="shared" si="62"/>
        <v>0</v>
      </c>
      <c r="S319" s="135">
        <v>0</v>
      </c>
      <c r="T319" s="136">
        <f t="shared" si="63"/>
        <v>0</v>
      </c>
      <c r="AR319" s="137" t="s">
        <v>206</v>
      </c>
      <c r="AT319" s="137" t="s">
        <v>144</v>
      </c>
      <c r="AU319" s="137" t="s">
        <v>143</v>
      </c>
      <c r="AY319" s="15" t="s">
        <v>141</v>
      </c>
      <c r="BE319" s="138">
        <f t="shared" si="64"/>
        <v>0</v>
      </c>
      <c r="BF319" s="138">
        <f t="shared" si="65"/>
        <v>0</v>
      </c>
      <c r="BG319" s="138">
        <f t="shared" si="66"/>
        <v>0</v>
      </c>
      <c r="BH319" s="138">
        <f t="shared" si="67"/>
        <v>0</v>
      </c>
      <c r="BI319" s="138">
        <f t="shared" si="68"/>
        <v>0</v>
      </c>
      <c r="BJ319" s="15" t="s">
        <v>143</v>
      </c>
      <c r="BK319" s="138">
        <f t="shared" si="69"/>
        <v>0</v>
      </c>
      <c r="BL319" s="15" t="s">
        <v>206</v>
      </c>
      <c r="BM319" s="137" t="s">
        <v>714</v>
      </c>
    </row>
    <row r="320" spans="2:65" s="1" customFormat="1" ht="16.5" customHeight="1">
      <c r="B320" s="126"/>
      <c r="C320" s="127" t="s">
        <v>715</v>
      </c>
      <c r="D320" s="127" t="s">
        <v>144</v>
      </c>
      <c r="E320" s="128" t="s">
        <v>716</v>
      </c>
      <c r="F320" s="129" t="s">
        <v>717</v>
      </c>
      <c r="G320" s="130" t="s">
        <v>429</v>
      </c>
      <c r="H320" s="131">
        <v>1</v>
      </c>
      <c r="I320" s="132">
        <v>301561.90000000002</v>
      </c>
      <c r="J320" s="132">
        <f t="shared" si="60"/>
        <v>301561.90000000002</v>
      </c>
      <c r="K320" s="129" t="s">
        <v>1</v>
      </c>
      <c r="L320" s="27"/>
      <c r="M320" s="133" t="s">
        <v>1</v>
      </c>
      <c r="N320" s="134" t="s">
        <v>39</v>
      </c>
      <c r="O320" s="135">
        <v>0</v>
      </c>
      <c r="P320" s="135">
        <f t="shared" si="61"/>
        <v>0</v>
      </c>
      <c r="Q320" s="135">
        <v>0</v>
      </c>
      <c r="R320" s="135">
        <f t="shared" si="62"/>
        <v>0</v>
      </c>
      <c r="S320" s="135">
        <v>0</v>
      </c>
      <c r="T320" s="136">
        <f t="shared" si="63"/>
        <v>0</v>
      </c>
      <c r="AR320" s="137" t="s">
        <v>206</v>
      </c>
      <c r="AT320" s="137" t="s">
        <v>144</v>
      </c>
      <c r="AU320" s="137" t="s">
        <v>143</v>
      </c>
      <c r="AY320" s="15" t="s">
        <v>141</v>
      </c>
      <c r="BE320" s="138">
        <f t="shared" si="64"/>
        <v>0</v>
      </c>
      <c r="BF320" s="138">
        <f t="shared" si="65"/>
        <v>301561.90000000002</v>
      </c>
      <c r="BG320" s="138">
        <f t="shared" si="66"/>
        <v>0</v>
      </c>
      <c r="BH320" s="138">
        <f t="shared" si="67"/>
        <v>0</v>
      </c>
      <c r="BI320" s="138">
        <f t="shared" si="68"/>
        <v>0</v>
      </c>
      <c r="BJ320" s="15" t="s">
        <v>143</v>
      </c>
      <c r="BK320" s="138">
        <f t="shared" si="69"/>
        <v>301561.90000000002</v>
      </c>
      <c r="BL320" s="15" t="s">
        <v>206</v>
      </c>
      <c r="BM320" s="137" t="s">
        <v>718</v>
      </c>
    </row>
    <row r="321" spans="2:65" s="1" customFormat="1" ht="21.75" customHeight="1">
      <c r="B321" s="126"/>
      <c r="C321" s="127" t="s">
        <v>719</v>
      </c>
      <c r="D321" s="127" t="s">
        <v>144</v>
      </c>
      <c r="E321" s="128" t="s">
        <v>720</v>
      </c>
      <c r="F321" s="129" t="s">
        <v>721</v>
      </c>
      <c r="G321" s="130" t="s">
        <v>429</v>
      </c>
      <c r="H321" s="131">
        <v>0</v>
      </c>
      <c r="I321" s="132">
        <v>0</v>
      </c>
      <c r="J321" s="132">
        <f t="shared" si="60"/>
        <v>0</v>
      </c>
      <c r="K321" s="129" t="s">
        <v>1</v>
      </c>
      <c r="L321" s="27"/>
      <c r="M321" s="133" t="s">
        <v>1</v>
      </c>
      <c r="N321" s="134" t="s">
        <v>39</v>
      </c>
      <c r="O321" s="135">
        <v>0</v>
      </c>
      <c r="P321" s="135">
        <f t="shared" si="61"/>
        <v>0</v>
      </c>
      <c r="Q321" s="135">
        <v>0</v>
      </c>
      <c r="R321" s="135">
        <f t="shared" si="62"/>
        <v>0</v>
      </c>
      <c r="S321" s="135">
        <v>0</v>
      </c>
      <c r="T321" s="136">
        <f t="shared" si="63"/>
        <v>0</v>
      </c>
      <c r="AR321" s="137" t="s">
        <v>206</v>
      </c>
      <c r="AT321" s="137" t="s">
        <v>144</v>
      </c>
      <c r="AU321" s="137" t="s">
        <v>143</v>
      </c>
      <c r="AY321" s="15" t="s">
        <v>141</v>
      </c>
      <c r="BE321" s="138">
        <f t="shared" si="64"/>
        <v>0</v>
      </c>
      <c r="BF321" s="138">
        <f t="shared" si="65"/>
        <v>0</v>
      </c>
      <c r="BG321" s="138">
        <f t="shared" si="66"/>
        <v>0</v>
      </c>
      <c r="BH321" s="138">
        <f t="shared" si="67"/>
        <v>0</v>
      </c>
      <c r="BI321" s="138">
        <f t="shared" si="68"/>
        <v>0</v>
      </c>
      <c r="BJ321" s="15" t="s">
        <v>143</v>
      </c>
      <c r="BK321" s="138">
        <f t="shared" si="69"/>
        <v>0</v>
      </c>
      <c r="BL321" s="15" t="s">
        <v>206</v>
      </c>
      <c r="BM321" s="137" t="s">
        <v>722</v>
      </c>
    </row>
    <row r="322" spans="2:65" s="1" customFormat="1" ht="16.5" customHeight="1">
      <c r="B322" s="126"/>
      <c r="C322" s="127" t="s">
        <v>723</v>
      </c>
      <c r="D322" s="127" t="s">
        <v>144</v>
      </c>
      <c r="E322" s="128" t="s">
        <v>724</v>
      </c>
      <c r="F322" s="129" t="s">
        <v>725</v>
      </c>
      <c r="G322" s="130" t="s">
        <v>429</v>
      </c>
      <c r="H322" s="131">
        <v>0</v>
      </c>
      <c r="I322" s="132">
        <v>0</v>
      </c>
      <c r="J322" s="132">
        <f t="shared" si="60"/>
        <v>0</v>
      </c>
      <c r="K322" s="129" t="s">
        <v>1</v>
      </c>
      <c r="L322" s="27"/>
      <c r="M322" s="133" t="s">
        <v>1</v>
      </c>
      <c r="N322" s="134" t="s">
        <v>39</v>
      </c>
      <c r="O322" s="135">
        <v>0</v>
      </c>
      <c r="P322" s="135">
        <f t="shared" si="61"/>
        <v>0</v>
      </c>
      <c r="Q322" s="135">
        <v>0</v>
      </c>
      <c r="R322" s="135">
        <f t="shared" si="62"/>
        <v>0</v>
      </c>
      <c r="S322" s="135">
        <v>0</v>
      </c>
      <c r="T322" s="136">
        <f t="shared" si="63"/>
        <v>0</v>
      </c>
      <c r="AR322" s="137" t="s">
        <v>206</v>
      </c>
      <c r="AT322" s="137" t="s">
        <v>144</v>
      </c>
      <c r="AU322" s="137" t="s">
        <v>143</v>
      </c>
      <c r="AY322" s="15" t="s">
        <v>141</v>
      </c>
      <c r="BE322" s="138">
        <f t="shared" si="64"/>
        <v>0</v>
      </c>
      <c r="BF322" s="138">
        <f t="shared" si="65"/>
        <v>0</v>
      </c>
      <c r="BG322" s="138">
        <f t="shared" si="66"/>
        <v>0</v>
      </c>
      <c r="BH322" s="138">
        <f t="shared" si="67"/>
        <v>0</v>
      </c>
      <c r="BI322" s="138">
        <f t="shared" si="68"/>
        <v>0</v>
      </c>
      <c r="BJ322" s="15" t="s">
        <v>143</v>
      </c>
      <c r="BK322" s="138">
        <f t="shared" si="69"/>
        <v>0</v>
      </c>
      <c r="BL322" s="15" t="s">
        <v>206</v>
      </c>
      <c r="BM322" s="137" t="s">
        <v>726</v>
      </c>
    </row>
    <row r="323" spans="2:65" s="1" customFormat="1" ht="16.5" customHeight="1">
      <c r="B323" s="126"/>
      <c r="C323" s="127" t="s">
        <v>727</v>
      </c>
      <c r="D323" s="127" t="s">
        <v>144</v>
      </c>
      <c r="E323" s="128" t="s">
        <v>728</v>
      </c>
      <c r="F323" s="129" t="s">
        <v>729</v>
      </c>
      <c r="G323" s="130" t="s">
        <v>429</v>
      </c>
      <c r="H323" s="131">
        <v>0</v>
      </c>
      <c r="I323" s="132">
        <v>0</v>
      </c>
      <c r="J323" s="132">
        <f t="shared" si="60"/>
        <v>0</v>
      </c>
      <c r="K323" s="129" t="s">
        <v>1</v>
      </c>
      <c r="L323" s="27"/>
      <c r="M323" s="133" t="s">
        <v>1</v>
      </c>
      <c r="N323" s="134" t="s">
        <v>39</v>
      </c>
      <c r="O323" s="135">
        <v>0</v>
      </c>
      <c r="P323" s="135">
        <f t="shared" si="61"/>
        <v>0</v>
      </c>
      <c r="Q323" s="135">
        <v>0</v>
      </c>
      <c r="R323" s="135">
        <f t="shared" si="62"/>
        <v>0</v>
      </c>
      <c r="S323" s="135">
        <v>0</v>
      </c>
      <c r="T323" s="136">
        <f t="shared" si="63"/>
        <v>0</v>
      </c>
      <c r="AR323" s="137" t="s">
        <v>206</v>
      </c>
      <c r="AT323" s="137" t="s">
        <v>144</v>
      </c>
      <c r="AU323" s="137" t="s">
        <v>143</v>
      </c>
      <c r="AY323" s="15" t="s">
        <v>141</v>
      </c>
      <c r="BE323" s="138">
        <f t="shared" si="64"/>
        <v>0</v>
      </c>
      <c r="BF323" s="138">
        <f t="shared" si="65"/>
        <v>0</v>
      </c>
      <c r="BG323" s="138">
        <f t="shared" si="66"/>
        <v>0</v>
      </c>
      <c r="BH323" s="138">
        <f t="shared" si="67"/>
        <v>0</v>
      </c>
      <c r="BI323" s="138">
        <f t="shared" si="68"/>
        <v>0</v>
      </c>
      <c r="BJ323" s="15" t="s">
        <v>143</v>
      </c>
      <c r="BK323" s="138">
        <f t="shared" si="69"/>
        <v>0</v>
      </c>
      <c r="BL323" s="15" t="s">
        <v>206</v>
      </c>
      <c r="BM323" s="137" t="s">
        <v>730</v>
      </c>
    </row>
    <row r="324" spans="2:65" s="1" customFormat="1" ht="16.5" customHeight="1">
      <c r="B324" s="126"/>
      <c r="C324" s="127" t="s">
        <v>731</v>
      </c>
      <c r="D324" s="127" t="s">
        <v>144</v>
      </c>
      <c r="E324" s="128" t="s">
        <v>732</v>
      </c>
      <c r="F324" s="129" t="s">
        <v>733</v>
      </c>
      <c r="G324" s="130" t="s">
        <v>429</v>
      </c>
      <c r="H324" s="131">
        <v>0</v>
      </c>
      <c r="I324" s="132">
        <v>0</v>
      </c>
      <c r="J324" s="132">
        <f t="shared" si="60"/>
        <v>0</v>
      </c>
      <c r="K324" s="129" t="s">
        <v>1</v>
      </c>
      <c r="L324" s="27"/>
      <c r="M324" s="133" t="s">
        <v>1</v>
      </c>
      <c r="N324" s="134" t="s">
        <v>39</v>
      </c>
      <c r="O324" s="135">
        <v>0</v>
      </c>
      <c r="P324" s="135">
        <f t="shared" si="61"/>
        <v>0</v>
      </c>
      <c r="Q324" s="135">
        <v>0</v>
      </c>
      <c r="R324" s="135">
        <f t="shared" si="62"/>
        <v>0</v>
      </c>
      <c r="S324" s="135">
        <v>0</v>
      </c>
      <c r="T324" s="136">
        <f t="shared" si="63"/>
        <v>0</v>
      </c>
      <c r="AR324" s="137" t="s">
        <v>206</v>
      </c>
      <c r="AT324" s="137" t="s">
        <v>144</v>
      </c>
      <c r="AU324" s="137" t="s">
        <v>143</v>
      </c>
      <c r="AY324" s="15" t="s">
        <v>141</v>
      </c>
      <c r="BE324" s="138">
        <f t="shared" si="64"/>
        <v>0</v>
      </c>
      <c r="BF324" s="138">
        <f t="shared" si="65"/>
        <v>0</v>
      </c>
      <c r="BG324" s="138">
        <f t="shared" si="66"/>
        <v>0</v>
      </c>
      <c r="BH324" s="138">
        <f t="shared" si="67"/>
        <v>0</v>
      </c>
      <c r="BI324" s="138">
        <f t="shared" si="68"/>
        <v>0</v>
      </c>
      <c r="BJ324" s="15" t="s">
        <v>143</v>
      </c>
      <c r="BK324" s="138">
        <f t="shared" si="69"/>
        <v>0</v>
      </c>
      <c r="BL324" s="15" t="s">
        <v>206</v>
      </c>
      <c r="BM324" s="137" t="s">
        <v>734</v>
      </c>
    </row>
    <row r="325" spans="2:65" s="11" customFormat="1" ht="22.9" customHeight="1">
      <c r="B325" s="115"/>
      <c r="D325" s="116" t="s">
        <v>72</v>
      </c>
      <c r="E325" s="124" t="s">
        <v>735</v>
      </c>
      <c r="F325" s="124" t="s">
        <v>736</v>
      </c>
      <c r="J325" s="125">
        <f>BK325</f>
        <v>2688427.17</v>
      </c>
      <c r="L325" s="115"/>
      <c r="M325" s="119"/>
      <c r="P325" s="120">
        <f>SUM(P326:P327)</f>
        <v>0</v>
      </c>
      <c r="R325" s="120">
        <f>SUM(R326:R327)</f>
        <v>0</v>
      </c>
      <c r="T325" s="121">
        <f>SUM(T326:T327)</f>
        <v>0</v>
      </c>
      <c r="AR325" s="116" t="s">
        <v>143</v>
      </c>
      <c r="AT325" s="122" t="s">
        <v>72</v>
      </c>
      <c r="AU325" s="122" t="s">
        <v>81</v>
      </c>
      <c r="AY325" s="116" t="s">
        <v>141</v>
      </c>
      <c r="BK325" s="123">
        <f>SUM(BK326:BK327)</f>
        <v>2688427.17</v>
      </c>
    </row>
    <row r="326" spans="2:65" s="1" customFormat="1" ht="16.5" customHeight="1">
      <c r="B326" s="126"/>
      <c r="C326" s="127" t="s">
        <v>737</v>
      </c>
      <c r="D326" s="127" t="s">
        <v>144</v>
      </c>
      <c r="E326" s="128" t="s">
        <v>738</v>
      </c>
      <c r="F326" s="129" t="s">
        <v>739</v>
      </c>
      <c r="G326" s="130" t="s">
        <v>429</v>
      </c>
      <c r="H326" s="131">
        <v>0</v>
      </c>
      <c r="I326" s="132">
        <v>0</v>
      </c>
      <c r="J326" s="132">
        <f>ROUND(I326*H326,2)</f>
        <v>0</v>
      </c>
      <c r="K326" s="129" t="s">
        <v>1</v>
      </c>
      <c r="L326" s="27"/>
      <c r="M326" s="133" t="s">
        <v>1</v>
      </c>
      <c r="N326" s="134" t="s">
        <v>39</v>
      </c>
      <c r="O326" s="135">
        <v>0</v>
      </c>
      <c r="P326" s="135">
        <f>O326*H326</f>
        <v>0</v>
      </c>
      <c r="Q326" s="135">
        <v>0</v>
      </c>
      <c r="R326" s="135">
        <f>Q326*H326</f>
        <v>0</v>
      </c>
      <c r="S326" s="135">
        <v>0</v>
      </c>
      <c r="T326" s="136">
        <f>S326*H326</f>
        <v>0</v>
      </c>
      <c r="AR326" s="137" t="s">
        <v>206</v>
      </c>
      <c r="AT326" s="137" t="s">
        <v>144</v>
      </c>
      <c r="AU326" s="137" t="s">
        <v>143</v>
      </c>
      <c r="AY326" s="15" t="s">
        <v>141</v>
      </c>
      <c r="BE326" s="138">
        <f>IF(N326="základní",J326,0)</f>
        <v>0</v>
      </c>
      <c r="BF326" s="138">
        <f>IF(N326="snížená",J326,0)</f>
        <v>0</v>
      </c>
      <c r="BG326" s="138">
        <f>IF(N326="zákl. přenesená",J326,0)</f>
        <v>0</v>
      </c>
      <c r="BH326" s="138">
        <f>IF(N326="sníž. přenesená",J326,0)</f>
        <v>0</v>
      </c>
      <c r="BI326" s="138">
        <f>IF(N326="nulová",J326,0)</f>
        <v>0</v>
      </c>
      <c r="BJ326" s="15" t="s">
        <v>143</v>
      </c>
      <c r="BK326" s="138">
        <f>ROUND(I326*H326,2)</f>
        <v>0</v>
      </c>
      <c r="BL326" s="15" t="s">
        <v>206</v>
      </c>
      <c r="BM326" s="137" t="s">
        <v>740</v>
      </c>
    </row>
    <row r="327" spans="2:65" s="1" customFormat="1" ht="16.5" customHeight="1">
      <c r="B327" s="126"/>
      <c r="C327" s="127" t="s">
        <v>741</v>
      </c>
      <c r="D327" s="127" t="s">
        <v>144</v>
      </c>
      <c r="E327" s="128" t="s">
        <v>742</v>
      </c>
      <c r="F327" s="129" t="s">
        <v>743</v>
      </c>
      <c r="G327" s="130" t="s">
        <v>429</v>
      </c>
      <c r="H327" s="131">
        <v>1</v>
      </c>
      <c r="I327" s="132">
        <v>2688427.17</v>
      </c>
      <c r="J327" s="132">
        <f>ROUND(I327*H327,2)</f>
        <v>2688427.17</v>
      </c>
      <c r="K327" s="129" t="s">
        <v>1</v>
      </c>
      <c r="L327" s="27"/>
      <c r="M327" s="133" t="s">
        <v>1</v>
      </c>
      <c r="N327" s="134" t="s">
        <v>39</v>
      </c>
      <c r="O327" s="135">
        <v>0</v>
      </c>
      <c r="P327" s="135">
        <f>O327*H327</f>
        <v>0</v>
      </c>
      <c r="Q327" s="135">
        <v>0</v>
      </c>
      <c r="R327" s="135">
        <f>Q327*H327</f>
        <v>0</v>
      </c>
      <c r="S327" s="135">
        <v>0</v>
      </c>
      <c r="T327" s="136">
        <f>S327*H327</f>
        <v>0</v>
      </c>
      <c r="AR327" s="137" t="s">
        <v>206</v>
      </c>
      <c r="AT327" s="137" t="s">
        <v>144</v>
      </c>
      <c r="AU327" s="137" t="s">
        <v>143</v>
      </c>
      <c r="AY327" s="15" t="s">
        <v>141</v>
      </c>
      <c r="BE327" s="138">
        <f>IF(N327="základní",J327,0)</f>
        <v>0</v>
      </c>
      <c r="BF327" s="138">
        <f>IF(N327="snížená",J327,0)</f>
        <v>2688427.17</v>
      </c>
      <c r="BG327" s="138">
        <f>IF(N327="zákl. přenesená",J327,0)</f>
        <v>0</v>
      </c>
      <c r="BH327" s="138">
        <f>IF(N327="sníž. přenesená",J327,0)</f>
        <v>0</v>
      </c>
      <c r="BI327" s="138">
        <f>IF(N327="nulová",J327,0)</f>
        <v>0</v>
      </c>
      <c r="BJ327" s="15" t="s">
        <v>143</v>
      </c>
      <c r="BK327" s="138">
        <f>ROUND(I327*H327,2)</f>
        <v>2688427.17</v>
      </c>
      <c r="BL327" s="15" t="s">
        <v>206</v>
      </c>
      <c r="BM327" s="137" t="s">
        <v>744</v>
      </c>
    </row>
    <row r="328" spans="2:65" s="11" customFormat="1" ht="22.9" customHeight="1">
      <c r="B328" s="115"/>
      <c r="D328" s="116" t="s">
        <v>72</v>
      </c>
      <c r="E328" s="124" t="s">
        <v>745</v>
      </c>
      <c r="F328" s="124" t="s">
        <v>746</v>
      </c>
      <c r="J328" s="125">
        <f>BK328</f>
        <v>9141410.6999999993</v>
      </c>
      <c r="L328" s="115"/>
      <c r="M328" s="119"/>
      <c r="P328" s="120">
        <f>P329</f>
        <v>0</v>
      </c>
      <c r="R328" s="120">
        <f>R329</f>
        <v>0</v>
      </c>
      <c r="T328" s="121">
        <f>T329</f>
        <v>0</v>
      </c>
      <c r="AR328" s="116" t="s">
        <v>143</v>
      </c>
      <c r="AT328" s="122" t="s">
        <v>72</v>
      </c>
      <c r="AU328" s="122" t="s">
        <v>81</v>
      </c>
      <c r="AY328" s="116" t="s">
        <v>141</v>
      </c>
      <c r="BK328" s="123">
        <f>BK329</f>
        <v>9141410.6999999993</v>
      </c>
    </row>
    <row r="329" spans="2:65" s="1" customFormat="1" ht="24.2" customHeight="1">
      <c r="B329" s="126"/>
      <c r="C329" s="127" t="s">
        <v>747</v>
      </c>
      <c r="D329" s="127" t="s">
        <v>144</v>
      </c>
      <c r="E329" s="128" t="s">
        <v>748</v>
      </c>
      <c r="F329" s="129" t="s">
        <v>749</v>
      </c>
      <c r="G329" s="130" t="s">
        <v>429</v>
      </c>
      <c r="H329" s="131">
        <v>1</v>
      </c>
      <c r="I329" s="132">
        <v>9141410.6999999993</v>
      </c>
      <c r="J329" s="132">
        <f>ROUND(I329*H329,2)</f>
        <v>9141410.6999999993</v>
      </c>
      <c r="K329" s="129" t="s">
        <v>1</v>
      </c>
      <c r="L329" s="27"/>
      <c r="M329" s="133" t="s">
        <v>1</v>
      </c>
      <c r="N329" s="134" t="s">
        <v>39</v>
      </c>
      <c r="O329" s="135">
        <v>0</v>
      </c>
      <c r="P329" s="135">
        <f>O329*H329</f>
        <v>0</v>
      </c>
      <c r="Q329" s="135">
        <v>0</v>
      </c>
      <c r="R329" s="135">
        <f>Q329*H329</f>
        <v>0</v>
      </c>
      <c r="S329" s="135">
        <v>0</v>
      </c>
      <c r="T329" s="136">
        <f>S329*H329</f>
        <v>0</v>
      </c>
      <c r="AR329" s="137" t="s">
        <v>206</v>
      </c>
      <c r="AT329" s="137" t="s">
        <v>144</v>
      </c>
      <c r="AU329" s="137" t="s">
        <v>143</v>
      </c>
      <c r="AY329" s="15" t="s">
        <v>141</v>
      </c>
      <c r="BE329" s="138">
        <f>IF(N329="základní",J329,0)</f>
        <v>0</v>
      </c>
      <c r="BF329" s="138">
        <f>IF(N329="snížená",J329,0)</f>
        <v>9141410.6999999993</v>
      </c>
      <c r="BG329" s="138">
        <f>IF(N329="zákl. přenesená",J329,0)</f>
        <v>0</v>
      </c>
      <c r="BH329" s="138">
        <f>IF(N329="sníž. přenesená",J329,0)</f>
        <v>0</v>
      </c>
      <c r="BI329" s="138">
        <f>IF(N329="nulová",J329,0)</f>
        <v>0</v>
      </c>
      <c r="BJ329" s="15" t="s">
        <v>143</v>
      </c>
      <c r="BK329" s="138">
        <f>ROUND(I329*H329,2)</f>
        <v>9141410.6999999993</v>
      </c>
      <c r="BL329" s="15" t="s">
        <v>206</v>
      </c>
      <c r="BM329" s="137" t="s">
        <v>750</v>
      </c>
    </row>
    <row r="330" spans="2:65" s="11" customFormat="1" ht="22.9" customHeight="1">
      <c r="B330" s="115"/>
      <c r="D330" s="116" t="s">
        <v>72</v>
      </c>
      <c r="E330" s="124" t="s">
        <v>751</v>
      </c>
      <c r="F330" s="124" t="s">
        <v>752</v>
      </c>
      <c r="J330" s="125">
        <f>BK330</f>
        <v>1077710.1299999999</v>
      </c>
      <c r="L330" s="115"/>
      <c r="M330" s="119"/>
      <c r="P330" s="120">
        <f>SUM(P331:P332)</f>
        <v>0</v>
      </c>
      <c r="R330" s="120">
        <f>SUM(R331:R332)</f>
        <v>0</v>
      </c>
      <c r="T330" s="121">
        <f>SUM(T331:T332)</f>
        <v>0</v>
      </c>
      <c r="AR330" s="116" t="s">
        <v>143</v>
      </c>
      <c r="AT330" s="122" t="s">
        <v>72</v>
      </c>
      <c r="AU330" s="122" t="s">
        <v>81</v>
      </c>
      <c r="AY330" s="116" t="s">
        <v>141</v>
      </c>
      <c r="BK330" s="123">
        <f>SUM(BK331:BK332)</f>
        <v>1077710.1299999999</v>
      </c>
    </row>
    <row r="331" spans="2:65" s="1" customFormat="1" ht="16.5" customHeight="1">
      <c r="B331" s="126"/>
      <c r="C331" s="127" t="s">
        <v>753</v>
      </c>
      <c r="D331" s="127" t="s">
        <v>144</v>
      </c>
      <c r="E331" s="128" t="s">
        <v>754</v>
      </c>
      <c r="F331" s="129" t="s">
        <v>755</v>
      </c>
      <c r="G331" s="130" t="s">
        <v>429</v>
      </c>
      <c r="H331" s="131">
        <v>1</v>
      </c>
      <c r="I331" s="132">
        <v>1077710.1299999999</v>
      </c>
      <c r="J331" s="132">
        <f>ROUND(I331*H331,2)</f>
        <v>1077710.1299999999</v>
      </c>
      <c r="K331" s="129" t="s">
        <v>1</v>
      </c>
      <c r="L331" s="27"/>
      <c r="M331" s="133" t="s">
        <v>1</v>
      </c>
      <c r="N331" s="134" t="s">
        <v>39</v>
      </c>
      <c r="O331" s="135">
        <v>0</v>
      </c>
      <c r="P331" s="135">
        <f>O331*H331</f>
        <v>0</v>
      </c>
      <c r="Q331" s="135">
        <v>0</v>
      </c>
      <c r="R331" s="135">
        <f>Q331*H331</f>
        <v>0</v>
      </c>
      <c r="S331" s="135">
        <v>0</v>
      </c>
      <c r="T331" s="136">
        <f>S331*H331</f>
        <v>0</v>
      </c>
      <c r="AR331" s="137" t="s">
        <v>206</v>
      </c>
      <c r="AT331" s="137" t="s">
        <v>144</v>
      </c>
      <c r="AU331" s="137" t="s">
        <v>143</v>
      </c>
      <c r="AY331" s="15" t="s">
        <v>141</v>
      </c>
      <c r="BE331" s="138">
        <f>IF(N331="základní",J331,0)</f>
        <v>0</v>
      </c>
      <c r="BF331" s="138">
        <f>IF(N331="snížená",J331,0)</f>
        <v>1077710.1299999999</v>
      </c>
      <c r="BG331" s="138">
        <f>IF(N331="zákl. přenesená",J331,0)</f>
        <v>0</v>
      </c>
      <c r="BH331" s="138">
        <f>IF(N331="sníž. přenesená",J331,0)</f>
        <v>0</v>
      </c>
      <c r="BI331" s="138">
        <f>IF(N331="nulová",J331,0)</f>
        <v>0</v>
      </c>
      <c r="BJ331" s="15" t="s">
        <v>143</v>
      </c>
      <c r="BK331" s="138">
        <f>ROUND(I331*H331,2)</f>
        <v>1077710.1299999999</v>
      </c>
      <c r="BL331" s="15" t="s">
        <v>206</v>
      </c>
      <c r="BM331" s="137" t="s">
        <v>756</v>
      </c>
    </row>
    <row r="332" spans="2:65" s="1" customFormat="1" ht="16.5" customHeight="1">
      <c r="B332" s="126"/>
      <c r="C332" s="127" t="s">
        <v>757</v>
      </c>
      <c r="D332" s="127" t="s">
        <v>144</v>
      </c>
      <c r="E332" s="128" t="s">
        <v>758</v>
      </c>
      <c r="F332" s="129" t="s">
        <v>725</v>
      </c>
      <c r="G332" s="130" t="s">
        <v>429</v>
      </c>
      <c r="H332" s="131">
        <v>0</v>
      </c>
      <c r="I332" s="132">
        <v>0</v>
      </c>
      <c r="J332" s="132">
        <f>ROUND(I332*H332,2)</f>
        <v>0</v>
      </c>
      <c r="K332" s="129" t="s">
        <v>1</v>
      </c>
      <c r="L332" s="27"/>
      <c r="M332" s="133" t="s">
        <v>1</v>
      </c>
      <c r="N332" s="134" t="s">
        <v>39</v>
      </c>
      <c r="O332" s="135">
        <v>0</v>
      </c>
      <c r="P332" s="135">
        <f>O332*H332</f>
        <v>0</v>
      </c>
      <c r="Q332" s="135">
        <v>0</v>
      </c>
      <c r="R332" s="135">
        <f>Q332*H332</f>
        <v>0</v>
      </c>
      <c r="S332" s="135">
        <v>0</v>
      </c>
      <c r="T332" s="136">
        <f>S332*H332</f>
        <v>0</v>
      </c>
      <c r="AR332" s="137" t="s">
        <v>206</v>
      </c>
      <c r="AT332" s="137" t="s">
        <v>144</v>
      </c>
      <c r="AU332" s="137" t="s">
        <v>143</v>
      </c>
      <c r="AY332" s="15" t="s">
        <v>141</v>
      </c>
      <c r="BE332" s="138">
        <f>IF(N332="základní",J332,0)</f>
        <v>0</v>
      </c>
      <c r="BF332" s="138">
        <f>IF(N332="snížená",J332,0)</f>
        <v>0</v>
      </c>
      <c r="BG332" s="138">
        <f>IF(N332="zákl. přenesená",J332,0)</f>
        <v>0</v>
      </c>
      <c r="BH332" s="138">
        <f>IF(N332="sníž. přenesená",J332,0)</f>
        <v>0</v>
      </c>
      <c r="BI332" s="138">
        <f>IF(N332="nulová",J332,0)</f>
        <v>0</v>
      </c>
      <c r="BJ332" s="15" t="s">
        <v>143</v>
      </c>
      <c r="BK332" s="138">
        <f>ROUND(I332*H332,2)</f>
        <v>0</v>
      </c>
      <c r="BL332" s="15" t="s">
        <v>206</v>
      </c>
      <c r="BM332" s="137" t="s">
        <v>759</v>
      </c>
    </row>
    <row r="333" spans="2:65" s="11" customFormat="1" ht="22.9" customHeight="1">
      <c r="B333" s="115"/>
      <c r="D333" s="116" t="s">
        <v>72</v>
      </c>
      <c r="E333" s="124" t="s">
        <v>760</v>
      </c>
      <c r="F333" s="124" t="s">
        <v>761</v>
      </c>
      <c r="J333" s="125">
        <f>BK333</f>
        <v>1537541.26</v>
      </c>
      <c r="L333" s="115"/>
      <c r="M333" s="119"/>
      <c r="P333" s="120">
        <f>SUM(P334:P349)</f>
        <v>1008.2231019999999</v>
      </c>
      <c r="R333" s="120">
        <f>SUM(R334:R349)</f>
        <v>35.454786909999996</v>
      </c>
      <c r="T333" s="121">
        <f>SUM(T334:T349)</f>
        <v>0</v>
      </c>
      <c r="AR333" s="116" t="s">
        <v>143</v>
      </c>
      <c r="AT333" s="122" t="s">
        <v>72</v>
      </c>
      <c r="AU333" s="122" t="s">
        <v>81</v>
      </c>
      <c r="AY333" s="116" t="s">
        <v>141</v>
      </c>
      <c r="BK333" s="123">
        <f>SUM(BK334:BK349)</f>
        <v>1537541.26</v>
      </c>
    </row>
    <row r="334" spans="2:65" s="1" customFormat="1" ht="33" customHeight="1">
      <c r="B334" s="126"/>
      <c r="C334" s="127" t="s">
        <v>762</v>
      </c>
      <c r="D334" s="127" t="s">
        <v>144</v>
      </c>
      <c r="E334" s="128" t="s">
        <v>763</v>
      </c>
      <c r="F334" s="129" t="s">
        <v>764</v>
      </c>
      <c r="G334" s="130" t="s">
        <v>162</v>
      </c>
      <c r="H334" s="131">
        <v>35.667000000000002</v>
      </c>
      <c r="I334" s="132">
        <v>1010</v>
      </c>
      <c r="J334" s="132">
        <f t="shared" ref="J334:J349" si="70">ROUND(I334*H334,2)</f>
        <v>36023.67</v>
      </c>
      <c r="K334" s="129" t="s">
        <v>148</v>
      </c>
      <c r="L334" s="27"/>
      <c r="M334" s="133" t="s">
        <v>1</v>
      </c>
      <c r="N334" s="134" t="s">
        <v>39</v>
      </c>
      <c r="O334" s="135">
        <v>1.56</v>
      </c>
      <c r="P334" s="135">
        <f t="shared" ref="P334:P349" si="71">O334*H334</f>
        <v>55.640520000000002</v>
      </c>
      <c r="Q334" s="135">
        <v>1.08E-3</v>
      </c>
      <c r="R334" s="135">
        <f t="shared" ref="R334:R349" si="72">Q334*H334</f>
        <v>3.8520360000000003E-2</v>
      </c>
      <c r="S334" s="135">
        <v>0</v>
      </c>
      <c r="T334" s="136">
        <f t="shared" ref="T334:T349" si="73">S334*H334</f>
        <v>0</v>
      </c>
      <c r="AR334" s="137" t="s">
        <v>206</v>
      </c>
      <c r="AT334" s="137" t="s">
        <v>144</v>
      </c>
      <c r="AU334" s="137" t="s">
        <v>143</v>
      </c>
      <c r="AY334" s="15" t="s">
        <v>141</v>
      </c>
      <c r="BE334" s="138">
        <f t="shared" ref="BE334:BE349" si="74">IF(N334="základní",J334,0)</f>
        <v>0</v>
      </c>
      <c r="BF334" s="138">
        <f t="shared" ref="BF334:BF349" si="75">IF(N334="snížená",J334,0)</f>
        <v>36023.67</v>
      </c>
      <c r="BG334" s="138">
        <f t="shared" ref="BG334:BG349" si="76">IF(N334="zákl. přenesená",J334,0)</f>
        <v>0</v>
      </c>
      <c r="BH334" s="138">
        <f t="shared" ref="BH334:BH349" si="77">IF(N334="sníž. přenesená",J334,0)</f>
        <v>0</v>
      </c>
      <c r="BI334" s="138">
        <f t="shared" ref="BI334:BI349" si="78">IF(N334="nulová",J334,0)</f>
        <v>0</v>
      </c>
      <c r="BJ334" s="15" t="s">
        <v>143</v>
      </c>
      <c r="BK334" s="138">
        <f t="shared" ref="BK334:BK349" si="79">ROUND(I334*H334,2)</f>
        <v>36023.67</v>
      </c>
      <c r="BL334" s="15" t="s">
        <v>206</v>
      </c>
      <c r="BM334" s="137" t="s">
        <v>765</v>
      </c>
    </row>
    <row r="335" spans="2:65" s="1" customFormat="1" ht="24.2" customHeight="1">
      <c r="B335" s="126"/>
      <c r="C335" s="127" t="s">
        <v>766</v>
      </c>
      <c r="D335" s="127" t="s">
        <v>144</v>
      </c>
      <c r="E335" s="128" t="s">
        <v>767</v>
      </c>
      <c r="F335" s="129" t="s">
        <v>768</v>
      </c>
      <c r="G335" s="130" t="s">
        <v>193</v>
      </c>
      <c r="H335" s="131">
        <v>86.034000000000006</v>
      </c>
      <c r="I335" s="132">
        <v>223</v>
      </c>
      <c r="J335" s="132">
        <f t="shared" si="70"/>
        <v>19185.580000000002</v>
      </c>
      <c r="K335" s="129" t="s">
        <v>148</v>
      </c>
      <c r="L335" s="27"/>
      <c r="M335" s="133" t="s">
        <v>1</v>
      </c>
      <c r="N335" s="134" t="s">
        <v>39</v>
      </c>
      <c r="O335" s="135">
        <v>0.45400000000000001</v>
      </c>
      <c r="P335" s="135">
        <f t="shared" si="71"/>
        <v>39.059436000000005</v>
      </c>
      <c r="Q335" s="135">
        <v>0</v>
      </c>
      <c r="R335" s="135">
        <f t="shared" si="72"/>
        <v>0</v>
      </c>
      <c r="S335" s="135">
        <v>0</v>
      </c>
      <c r="T335" s="136">
        <f t="shared" si="73"/>
        <v>0</v>
      </c>
      <c r="AR335" s="137" t="s">
        <v>206</v>
      </c>
      <c r="AT335" s="137" t="s">
        <v>144</v>
      </c>
      <c r="AU335" s="137" t="s">
        <v>143</v>
      </c>
      <c r="AY335" s="15" t="s">
        <v>141</v>
      </c>
      <c r="BE335" s="138">
        <f t="shared" si="74"/>
        <v>0</v>
      </c>
      <c r="BF335" s="138">
        <f t="shared" si="75"/>
        <v>19185.580000000002</v>
      </c>
      <c r="BG335" s="138">
        <f t="shared" si="76"/>
        <v>0</v>
      </c>
      <c r="BH335" s="138">
        <f t="shared" si="77"/>
        <v>0</v>
      </c>
      <c r="BI335" s="138">
        <f t="shared" si="78"/>
        <v>0</v>
      </c>
      <c r="BJ335" s="15" t="s">
        <v>143</v>
      </c>
      <c r="BK335" s="138">
        <f t="shared" si="79"/>
        <v>19185.580000000002</v>
      </c>
      <c r="BL335" s="15" t="s">
        <v>206</v>
      </c>
      <c r="BM335" s="137" t="s">
        <v>769</v>
      </c>
    </row>
    <row r="336" spans="2:65" s="1" customFormat="1" ht="21.75" customHeight="1">
      <c r="B336" s="126"/>
      <c r="C336" s="139" t="s">
        <v>770</v>
      </c>
      <c r="D336" s="139" t="s">
        <v>207</v>
      </c>
      <c r="E336" s="140" t="s">
        <v>771</v>
      </c>
      <c r="F336" s="141" t="s">
        <v>772</v>
      </c>
      <c r="G336" s="142" t="s">
        <v>162</v>
      </c>
      <c r="H336" s="143">
        <v>1.212</v>
      </c>
      <c r="I336" s="144">
        <v>10900</v>
      </c>
      <c r="J336" s="144">
        <f t="shared" si="70"/>
        <v>13210.8</v>
      </c>
      <c r="K336" s="141" t="s">
        <v>148</v>
      </c>
      <c r="L336" s="145"/>
      <c r="M336" s="146" t="s">
        <v>1</v>
      </c>
      <c r="N336" s="147" t="s">
        <v>39</v>
      </c>
      <c r="O336" s="135">
        <v>0</v>
      </c>
      <c r="P336" s="135">
        <f t="shared" si="71"/>
        <v>0</v>
      </c>
      <c r="Q336" s="135">
        <v>0.55000000000000004</v>
      </c>
      <c r="R336" s="135">
        <f t="shared" si="72"/>
        <v>0.66660000000000008</v>
      </c>
      <c r="S336" s="135">
        <v>0</v>
      </c>
      <c r="T336" s="136">
        <f t="shared" si="73"/>
        <v>0</v>
      </c>
      <c r="AR336" s="137" t="s">
        <v>274</v>
      </c>
      <c r="AT336" s="137" t="s">
        <v>207</v>
      </c>
      <c r="AU336" s="137" t="s">
        <v>143</v>
      </c>
      <c r="AY336" s="15" t="s">
        <v>141</v>
      </c>
      <c r="BE336" s="138">
        <f t="shared" si="74"/>
        <v>0</v>
      </c>
      <c r="BF336" s="138">
        <f t="shared" si="75"/>
        <v>13210.8</v>
      </c>
      <c r="BG336" s="138">
        <f t="shared" si="76"/>
        <v>0</v>
      </c>
      <c r="BH336" s="138">
        <f t="shared" si="77"/>
        <v>0</v>
      </c>
      <c r="BI336" s="138">
        <f t="shared" si="78"/>
        <v>0</v>
      </c>
      <c r="BJ336" s="15" t="s">
        <v>143</v>
      </c>
      <c r="BK336" s="138">
        <f t="shared" si="79"/>
        <v>13210.8</v>
      </c>
      <c r="BL336" s="15" t="s">
        <v>206</v>
      </c>
      <c r="BM336" s="137" t="s">
        <v>773</v>
      </c>
    </row>
    <row r="337" spans="2:65" s="1" customFormat="1" ht="24.2" customHeight="1">
      <c r="B337" s="126"/>
      <c r="C337" s="127" t="s">
        <v>774</v>
      </c>
      <c r="D337" s="127" t="s">
        <v>144</v>
      </c>
      <c r="E337" s="128" t="s">
        <v>767</v>
      </c>
      <c r="F337" s="129" t="s">
        <v>768</v>
      </c>
      <c r="G337" s="130" t="s">
        <v>193</v>
      </c>
      <c r="H337" s="131">
        <v>104.676</v>
      </c>
      <c r="I337" s="132">
        <v>223</v>
      </c>
      <c r="J337" s="132">
        <f t="shared" si="70"/>
        <v>23342.75</v>
      </c>
      <c r="K337" s="129" t="s">
        <v>148</v>
      </c>
      <c r="L337" s="27"/>
      <c r="M337" s="133" t="s">
        <v>1</v>
      </c>
      <c r="N337" s="134" t="s">
        <v>39</v>
      </c>
      <c r="O337" s="135">
        <v>0.45400000000000001</v>
      </c>
      <c r="P337" s="135">
        <f t="shared" si="71"/>
        <v>47.522904000000004</v>
      </c>
      <c r="Q337" s="135">
        <v>0</v>
      </c>
      <c r="R337" s="135">
        <f t="shared" si="72"/>
        <v>0</v>
      </c>
      <c r="S337" s="135">
        <v>0</v>
      </c>
      <c r="T337" s="136">
        <f t="shared" si="73"/>
        <v>0</v>
      </c>
      <c r="AR337" s="137" t="s">
        <v>206</v>
      </c>
      <c r="AT337" s="137" t="s">
        <v>144</v>
      </c>
      <c r="AU337" s="137" t="s">
        <v>143</v>
      </c>
      <c r="AY337" s="15" t="s">
        <v>141</v>
      </c>
      <c r="BE337" s="138">
        <f t="shared" si="74"/>
        <v>0</v>
      </c>
      <c r="BF337" s="138">
        <f t="shared" si="75"/>
        <v>23342.75</v>
      </c>
      <c r="BG337" s="138">
        <f t="shared" si="76"/>
        <v>0</v>
      </c>
      <c r="BH337" s="138">
        <f t="shared" si="77"/>
        <v>0</v>
      </c>
      <c r="BI337" s="138">
        <f t="shared" si="78"/>
        <v>0</v>
      </c>
      <c r="BJ337" s="15" t="s">
        <v>143</v>
      </c>
      <c r="BK337" s="138">
        <f t="shared" si="79"/>
        <v>23342.75</v>
      </c>
      <c r="BL337" s="15" t="s">
        <v>206</v>
      </c>
      <c r="BM337" s="137" t="s">
        <v>775</v>
      </c>
    </row>
    <row r="338" spans="2:65" s="1" customFormat="1" ht="21.75" customHeight="1">
      <c r="B338" s="126"/>
      <c r="C338" s="139" t="s">
        <v>776</v>
      </c>
      <c r="D338" s="139" t="s">
        <v>207</v>
      </c>
      <c r="E338" s="140" t="s">
        <v>771</v>
      </c>
      <c r="F338" s="141" t="s">
        <v>772</v>
      </c>
      <c r="G338" s="142" t="s">
        <v>162</v>
      </c>
      <c r="H338" s="143">
        <v>2.948</v>
      </c>
      <c r="I338" s="144">
        <v>10900</v>
      </c>
      <c r="J338" s="144">
        <f t="shared" si="70"/>
        <v>32133.200000000001</v>
      </c>
      <c r="K338" s="141" t="s">
        <v>148</v>
      </c>
      <c r="L338" s="145"/>
      <c r="M338" s="146" t="s">
        <v>1</v>
      </c>
      <c r="N338" s="147" t="s">
        <v>39</v>
      </c>
      <c r="O338" s="135">
        <v>0</v>
      </c>
      <c r="P338" s="135">
        <f t="shared" si="71"/>
        <v>0</v>
      </c>
      <c r="Q338" s="135">
        <v>0.55000000000000004</v>
      </c>
      <c r="R338" s="135">
        <f t="shared" si="72"/>
        <v>1.6214000000000002</v>
      </c>
      <c r="S338" s="135">
        <v>0</v>
      </c>
      <c r="T338" s="136">
        <f t="shared" si="73"/>
        <v>0</v>
      </c>
      <c r="AR338" s="137" t="s">
        <v>274</v>
      </c>
      <c r="AT338" s="137" t="s">
        <v>207</v>
      </c>
      <c r="AU338" s="137" t="s">
        <v>143</v>
      </c>
      <c r="AY338" s="15" t="s">
        <v>141</v>
      </c>
      <c r="BE338" s="138">
        <f t="shared" si="74"/>
        <v>0</v>
      </c>
      <c r="BF338" s="138">
        <f t="shared" si="75"/>
        <v>32133.200000000001</v>
      </c>
      <c r="BG338" s="138">
        <f t="shared" si="76"/>
        <v>0</v>
      </c>
      <c r="BH338" s="138">
        <f t="shared" si="77"/>
        <v>0</v>
      </c>
      <c r="BI338" s="138">
        <f t="shared" si="78"/>
        <v>0</v>
      </c>
      <c r="BJ338" s="15" t="s">
        <v>143</v>
      </c>
      <c r="BK338" s="138">
        <f t="shared" si="79"/>
        <v>32133.200000000001</v>
      </c>
      <c r="BL338" s="15" t="s">
        <v>206</v>
      </c>
      <c r="BM338" s="137" t="s">
        <v>777</v>
      </c>
    </row>
    <row r="339" spans="2:65" s="1" customFormat="1" ht="24.2" customHeight="1">
      <c r="B339" s="126"/>
      <c r="C339" s="127" t="s">
        <v>778</v>
      </c>
      <c r="D339" s="127" t="s">
        <v>144</v>
      </c>
      <c r="E339" s="128" t="s">
        <v>767</v>
      </c>
      <c r="F339" s="129" t="s">
        <v>768</v>
      </c>
      <c r="G339" s="130" t="s">
        <v>193</v>
      </c>
      <c r="H339" s="131">
        <v>34.58</v>
      </c>
      <c r="I339" s="132">
        <v>223</v>
      </c>
      <c r="J339" s="132">
        <f t="shared" si="70"/>
        <v>7711.34</v>
      </c>
      <c r="K339" s="129" t="s">
        <v>148</v>
      </c>
      <c r="L339" s="27"/>
      <c r="M339" s="133" t="s">
        <v>1</v>
      </c>
      <c r="N339" s="134" t="s">
        <v>39</v>
      </c>
      <c r="O339" s="135">
        <v>0.45400000000000001</v>
      </c>
      <c r="P339" s="135">
        <f t="shared" si="71"/>
        <v>15.69932</v>
      </c>
      <c r="Q339" s="135">
        <v>0</v>
      </c>
      <c r="R339" s="135">
        <f t="shared" si="72"/>
        <v>0</v>
      </c>
      <c r="S339" s="135">
        <v>0</v>
      </c>
      <c r="T339" s="136">
        <f t="shared" si="73"/>
        <v>0</v>
      </c>
      <c r="AR339" s="137" t="s">
        <v>206</v>
      </c>
      <c r="AT339" s="137" t="s">
        <v>144</v>
      </c>
      <c r="AU339" s="137" t="s">
        <v>143</v>
      </c>
      <c r="AY339" s="15" t="s">
        <v>141</v>
      </c>
      <c r="BE339" s="138">
        <f t="shared" si="74"/>
        <v>0</v>
      </c>
      <c r="BF339" s="138">
        <f t="shared" si="75"/>
        <v>7711.34</v>
      </c>
      <c r="BG339" s="138">
        <f t="shared" si="76"/>
        <v>0</v>
      </c>
      <c r="BH339" s="138">
        <f t="shared" si="77"/>
        <v>0</v>
      </c>
      <c r="BI339" s="138">
        <f t="shared" si="78"/>
        <v>0</v>
      </c>
      <c r="BJ339" s="15" t="s">
        <v>143</v>
      </c>
      <c r="BK339" s="138">
        <f t="shared" si="79"/>
        <v>7711.34</v>
      </c>
      <c r="BL339" s="15" t="s">
        <v>206</v>
      </c>
      <c r="BM339" s="137" t="s">
        <v>779</v>
      </c>
    </row>
    <row r="340" spans="2:65" s="1" customFormat="1" ht="21.75" customHeight="1">
      <c r="B340" s="126"/>
      <c r="C340" s="139" t="s">
        <v>780</v>
      </c>
      <c r="D340" s="139" t="s">
        <v>207</v>
      </c>
      <c r="E340" s="140" t="s">
        <v>771</v>
      </c>
      <c r="F340" s="141" t="s">
        <v>772</v>
      </c>
      <c r="G340" s="142" t="s">
        <v>162</v>
      </c>
      <c r="H340" s="143">
        <v>0.42599999999999999</v>
      </c>
      <c r="I340" s="144">
        <v>10900</v>
      </c>
      <c r="J340" s="144">
        <f t="shared" si="70"/>
        <v>4643.3999999999996</v>
      </c>
      <c r="K340" s="141" t="s">
        <v>148</v>
      </c>
      <c r="L340" s="145"/>
      <c r="M340" s="146" t="s">
        <v>1</v>
      </c>
      <c r="N340" s="147" t="s">
        <v>39</v>
      </c>
      <c r="O340" s="135">
        <v>0</v>
      </c>
      <c r="P340" s="135">
        <f t="shared" si="71"/>
        <v>0</v>
      </c>
      <c r="Q340" s="135">
        <v>0.55000000000000004</v>
      </c>
      <c r="R340" s="135">
        <f t="shared" si="72"/>
        <v>0.23430000000000001</v>
      </c>
      <c r="S340" s="135">
        <v>0</v>
      </c>
      <c r="T340" s="136">
        <f t="shared" si="73"/>
        <v>0</v>
      </c>
      <c r="AR340" s="137" t="s">
        <v>274</v>
      </c>
      <c r="AT340" s="137" t="s">
        <v>207</v>
      </c>
      <c r="AU340" s="137" t="s">
        <v>143</v>
      </c>
      <c r="AY340" s="15" t="s">
        <v>141</v>
      </c>
      <c r="BE340" s="138">
        <f t="shared" si="74"/>
        <v>0</v>
      </c>
      <c r="BF340" s="138">
        <f t="shared" si="75"/>
        <v>4643.3999999999996</v>
      </c>
      <c r="BG340" s="138">
        <f t="shared" si="76"/>
        <v>0</v>
      </c>
      <c r="BH340" s="138">
        <f t="shared" si="77"/>
        <v>0</v>
      </c>
      <c r="BI340" s="138">
        <f t="shared" si="78"/>
        <v>0</v>
      </c>
      <c r="BJ340" s="15" t="s">
        <v>143</v>
      </c>
      <c r="BK340" s="138">
        <f t="shared" si="79"/>
        <v>4643.3999999999996</v>
      </c>
      <c r="BL340" s="15" t="s">
        <v>206</v>
      </c>
      <c r="BM340" s="137" t="s">
        <v>781</v>
      </c>
    </row>
    <row r="341" spans="2:65" s="1" customFormat="1" ht="24.2" customHeight="1">
      <c r="B341" s="126"/>
      <c r="C341" s="127" t="s">
        <v>782</v>
      </c>
      <c r="D341" s="127" t="s">
        <v>144</v>
      </c>
      <c r="E341" s="128" t="s">
        <v>783</v>
      </c>
      <c r="F341" s="129" t="s">
        <v>784</v>
      </c>
      <c r="G341" s="130" t="s">
        <v>193</v>
      </c>
      <c r="H341" s="131">
        <v>806.96199999999999</v>
      </c>
      <c r="I341" s="132">
        <v>385</v>
      </c>
      <c r="J341" s="132">
        <f t="shared" si="70"/>
        <v>310680.37</v>
      </c>
      <c r="K341" s="129" t="s">
        <v>148</v>
      </c>
      <c r="L341" s="27"/>
      <c r="M341" s="133" t="s">
        <v>1</v>
      </c>
      <c r="N341" s="134" t="s">
        <v>39</v>
      </c>
      <c r="O341" s="135">
        <v>0.69799999999999995</v>
      </c>
      <c r="P341" s="135">
        <f t="shared" si="71"/>
        <v>563.25947599999995</v>
      </c>
      <c r="Q341" s="135">
        <v>0</v>
      </c>
      <c r="R341" s="135">
        <f t="shared" si="72"/>
        <v>0</v>
      </c>
      <c r="S341" s="135">
        <v>0</v>
      </c>
      <c r="T341" s="136">
        <f t="shared" si="73"/>
        <v>0</v>
      </c>
      <c r="AR341" s="137" t="s">
        <v>206</v>
      </c>
      <c r="AT341" s="137" t="s">
        <v>144</v>
      </c>
      <c r="AU341" s="137" t="s">
        <v>143</v>
      </c>
      <c r="AY341" s="15" t="s">
        <v>141</v>
      </c>
      <c r="BE341" s="138">
        <f t="shared" si="74"/>
        <v>0</v>
      </c>
      <c r="BF341" s="138">
        <f t="shared" si="75"/>
        <v>310680.37</v>
      </c>
      <c r="BG341" s="138">
        <f t="shared" si="76"/>
        <v>0</v>
      </c>
      <c r="BH341" s="138">
        <f t="shared" si="77"/>
        <v>0</v>
      </c>
      <c r="BI341" s="138">
        <f t="shared" si="78"/>
        <v>0</v>
      </c>
      <c r="BJ341" s="15" t="s">
        <v>143</v>
      </c>
      <c r="BK341" s="138">
        <f t="shared" si="79"/>
        <v>310680.37</v>
      </c>
      <c r="BL341" s="15" t="s">
        <v>206</v>
      </c>
      <c r="BM341" s="137" t="s">
        <v>785</v>
      </c>
    </row>
    <row r="342" spans="2:65" s="1" customFormat="1" ht="21.75" customHeight="1">
      <c r="B342" s="126"/>
      <c r="C342" s="139" t="s">
        <v>786</v>
      </c>
      <c r="D342" s="139" t="s">
        <v>207</v>
      </c>
      <c r="E342" s="140" t="s">
        <v>787</v>
      </c>
      <c r="F342" s="141" t="s">
        <v>788</v>
      </c>
      <c r="G342" s="142" t="s">
        <v>162</v>
      </c>
      <c r="H342" s="143">
        <v>28.405000000000001</v>
      </c>
      <c r="I342" s="144">
        <v>11100</v>
      </c>
      <c r="J342" s="144">
        <f t="shared" si="70"/>
        <v>315295.5</v>
      </c>
      <c r="K342" s="141" t="s">
        <v>148</v>
      </c>
      <c r="L342" s="145"/>
      <c r="M342" s="146" t="s">
        <v>1</v>
      </c>
      <c r="N342" s="147" t="s">
        <v>39</v>
      </c>
      <c r="O342" s="135">
        <v>0</v>
      </c>
      <c r="P342" s="135">
        <f t="shared" si="71"/>
        <v>0</v>
      </c>
      <c r="Q342" s="135">
        <v>0.55000000000000004</v>
      </c>
      <c r="R342" s="135">
        <f t="shared" si="72"/>
        <v>15.622750000000002</v>
      </c>
      <c r="S342" s="135">
        <v>0</v>
      </c>
      <c r="T342" s="136">
        <f t="shared" si="73"/>
        <v>0</v>
      </c>
      <c r="AR342" s="137" t="s">
        <v>274</v>
      </c>
      <c r="AT342" s="137" t="s">
        <v>207</v>
      </c>
      <c r="AU342" s="137" t="s">
        <v>143</v>
      </c>
      <c r="AY342" s="15" t="s">
        <v>141</v>
      </c>
      <c r="BE342" s="138">
        <f t="shared" si="74"/>
        <v>0</v>
      </c>
      <c r="BF342" s="138">
        <f t="shared" si="75"/>
        <v>315295.5</v>
      </c>
      <c r="BG342" s="138">
        <f t="shared" si="76"/>
        <v>0</v>
      </c>
      <c r="BH342" s="138">
        <f t="shared" si="77"/>
        <v>0</v>
      </c>
      <c r="BI342" s="138">
        <f t="shared" si="78"/>
        <v>0</v>
      </c>
      <c r="BJ342" s="15" t="s">
        <v>143</v>
      </c>
      <c r="BK342" s="138">
        <f t="shared" si="79"/>
        <v>315295.5</v>
      </c>
      <c r="BL342" s="15" t="s">
        <v>206</v>
      </c>
      <c r="BM342" s="137" t="s">
        <v>789</v>
      </c>
    </row>
    <row r="343" spans="2:65" s="1" customFormat="1" ht="33" customHeight="1">
      <c r="B343" s="126"/>
      <c r="C343" s="127" t="s">
        <v>790</v>
      </c>
      <c r="D343" s="127" t="s">
        <v>144</v>
      </c>
      <c r="E343" s="128" t="s">
        <v>791</v>
      </c>
      <c r="F343" s="129" t="s">
        <v>792</v>
      </c>
      <c r="G343" s="130" t="s">
        <v>193</v>
      </c>
      <c r="H343" s="131">
        <v>39</v>
      </c>
      <c r="I343" s="132">
        <v>445</v>
      </c>
      <c r="J343" s="132">
        <f t="shared" si="70"/>
        <v>17355</v>
      </c>
      <c r="K343" s="129" t="s">
        <v>148</v>
      </c>
      <c r="L343" s="27"/>
      <c r="M343" s="133" t="s">
        <v>1</v>
      </c>
      <c r="N343" s="134" t="s">
        <v>39</v>
      </c>
      <c r="O343" s="135">
        <v>0.81</v>
      </c>
      <c r="P343" s="135">
        <f t="shared" si="71"/>
        <v>31.590000000000003</v>
      </c>
      <c r="Q343" s="135">
        <v>0</v>
      </c>
      <c r="R343" s="135">
        <f t="shared" si="72"/>
        <v>0</v>
      </c>
      <c r="S343" s="135">
        <v>0</v>
      </c>
      <c r="T343" s="136">
        <f t="shared" si="73"/>
        <v>0</v>
      </c>
      <c r="AR343" s="137" t="s">
        <v>206</v>
      </c>
      <c r="AT343" s="137" t="s">
        <v>144</v>
      </c>
      <c r="AU343" s="137" t="s">
        <v>143</v>
      </c>
      <c r="AY343" s="15" t="s">
        <v>141</v>
      </c>
      <c r="BE343" s="138">
        <f t="shared" si="74"/>
        <v>0</v>
      </c>
      <c r="BF343" s="138">
        <f t="shared" si="75"/>
        <v>17355</v>
      </c>
      <c r="BG343" s="138">
        <f t="shared" si="76"/>
        <v>0</v>
      </c>
      <c r="BH343" s="138">
        <f t="shared" si="77"/>
        <v>0</v>
      </c>
      <c r="BI343" s="138">
        <f t="shared" si="78"/>
        <v>0</v>
      </c>
      <c r="BJ343" s="15" t="s">
        <v>143</v>
      </c>
      <c r="BK343" s="138">
        <f t="shared" si="79"/>
        <v>17355</v>
      </c>
      <c r="BL343" s="15" t="s">
        <v>206</v>
      </c>
      <c r="BM343" s="137" t="s">
        <v>793</v>
      </c>
    </row>
    <row r="344" spans="2:65" s="1" customFormat="1" ht="21.75" customHeight="1">
      <c r="B344" s="126"/>
      <c r="C344" s="139" t="s">
        <v>794</v>
      </c>
      <c r="D344" s="139" t="s">
        <v>207</v>
      </c>
      <c r="E344" s="140" t="s">
        <v>795</v>
      </c>
      <c r="F344" s="141" t="s">
        <v>796</v>
      </c>
      <c r="G344" s="142" t="s">
        <v>162</v>
      </c>
      <c r="H344" s="143">
        <v>2.677</v>
      </c>
      <c r="I344" s="144">
        <v>13200</v>
      </c>
      <c r="J344" s="144">
        <f t="shared" si="70"/>
        <v>35336.400000000001</v>
      </c>
      <c r="K344" s="141" t="s">
        <v>148</v>
      </c>
      <c r="L344" s="145"/>
      <c r="M344" s="146" t="s">
        <v>1</v>
      </c>
      <c r="N344" s="147" t="s">
        <v>39</v>
      </c>
      <c r="O344" s="135">
        <v>0</v>
      </c>
      <c r="P344" s="135">
        <f t="shared" si="71"/>
        <v>0</v>
      </c>
      <c r="Q344" s="135">
        <v>0.55000000000000004</v>
      </c>
      <c r="R344" s="135">
        <f t="shared" si="72"/>
        <v>1.47235</v>
      </c>
      <c r="S344" s="135">
        <v>0</v>
      </c>
      <c r="T344" s="136">
        <f t="shared" si="73"/>
        <v>0</v>
      </c>
      <c r="AR344" s="137" t="s">
        <v>274</v>
      </c>
      <c r="AT344" s="137" t="s">
        <v>207</v>
      </c>
      <c r="AU344" s="137" t="s">
        <v>143</v>
      </c>
      <c r="AY344" s="15" t="s">
        <v>141</v>
      </c>
      <c r="BE344" s="138">
        <f t="shared" si="74"/>
        <v>0</v>
      </c>
      <c r="BF344" s="138">
        <f t="shared" si="75"/>
        <v>35336.400000000001</v>
      </c>
      <c r="BG344" s="138">
        <f t="shared" si="76"/>
        <v>0</v>
      </c>
      <c r="BH344" s="138">
        <f t="shared" si="77"/>
        <v>0</v>
      </c>
      <c r="BI344" s="138">
        <f t="shared" si="78"/>
        <v>0</v>
      </c>
      <c r="BJ344" s="15" t="s">
        <v>143</v>
      </c>
      <c r="BK344" s="138">
        <f t="shared" si="79"/>
        <v>35336.400000000001</v>
      </c>
      <c r="BL344" s="15" t="s">
        <v>206</v>
      </c>
      <c r="BM344" s="137" t="s">
        <v>797</v>
      </c>
    </row>
    <row r="345" spans="2:65" s="1" customFormat="1" ht="24.2" customHeight="1">
      <c r="B345" s="126"/>
      <c r="C345" s="127" t="s">
        <v>798</v>
      </c>
      <c r="D345" s="127" t="s">
        <v>144</v>
      </c>
      <c r="E345" s="128" t="s">
        <v>799</v>
      </c>
      <c r="F345" s="129" t="s">
        <v>800</v>
      </c>
      <c r="G345" s="130" t="s">
        <v>157</v>
      </c>
      <c r="H345" s="131">
        <v>746.93399999999997</v>
      </c>
      <c r="I345" s="132">
        <v>655</v>
      </c>
      <c r="J345" s="132">
        <f t="shared" si="70"/>
        <v>489241.77</v>
      </c>
      <c r="K345" s="129" t="s">
        <v>148</v>
      </c>
      <c r="L345" s="27"/>
      <c r="M345" s="133" t="s">
        <v>1</v>
      </c>
      <c r="N345" s="134" t="s">
        <v>39</v>
      </c>
      <c r="O345" s="135">
        <v>0.26400000000000001</v>
      </c>
      <c r="P345" s="135">
        <f t="shared" si="71"/>
        <v>197.19057599999999</v>
      </c>
      <c r="Q345" s="135">
        <v>1.61E-2</v>
      </c>
      <c r="R345" s="135">
        <f t="shared" si="72"/>
        <v>12.025637399999999</v>
      </c>
      <c r="S345" s="135">
        <v>0</v>
      </c>
      <c r="T345" s="136">
        <f t="shared" si="73"/>
        <v>0</v>
      </c>
      <c r="AR345" s="137" t="s">
        <v>206</v>
      </c>
      <c r="AT345" s="137" t="s">
        <v>144</v>
      </c>
      <c r="AU345" s="137" t="s">
        <v>143</v>
      </c>
      <c r="AY345" s="15" t="s">
        <v>141</v>
      </c>
      <c r="BE345" s="138">
        <f t="shared" si="74"/>
        <v>0</v>
      </c>
      <c r="BF345" s="138">
        <f t="shared" si="75"/>
        <v>489241.77</v>
      </c>
      <c r="BG345" s="138">
        <f t="shared" si="76"/>
        <v>0</v>
      </c>
      <c r="BH345" s="138">
        <f t="shared" si="77"/>
        <v>0</v>
      </c>
      <c r="BI345" s="138">
        <f t="shared" si="78"/>
        <v>0</v>
      </c>
      <c r="BJ345" s="15" t="s">
        <v>143</v>
      </c>
      <c r="BK345" s="138">
        <f t="shared" si="79"/>
        <v>489241.77</v>
      </c>
      <c r="BL345" s="15" t="s">
        <v>206</v>
      </c>
      <c r="BM345" s="137" t="s">
        <v>801</v>
      </c>
    </row>
    <row r="346" spans="2:65" s="1" customFormat="1" ht="24.2" customHeight="1">
      <c r="B346" s="126"/>
      <c r="C346" s="127" t="s">
        <v>802</v>
      </c>
      <c r="D346" s="127" t="s">
        <v>144</v>
      </c>
      <c r="E346" s="128" t="s">
        <v>803</v>
      </c>
      <c r="F346" s="129" t="s">
        <v>804</v>
      </c>
      <c r="G346" s="130" t="s">
        <v>193</v>
      </c>
      <c r="H346" s="131">
        <v>1942.029</v>
      </c>
      <c r="I346" s="132">
        <v>14</v>
      </c>
      <c r="J346" s="132">
        <f t="shared" si="70"/>
        <v>27188.41</v>
      </c>
      <c r="K346" s="129" t="s">
        <v>148</v>
      </c>
      <c r="L346" s="27"/>
      <c r="M346" s="133" t="s">
        <v>1</v>
      </c>
      <c r="N346" s="134" t="s">
        <v>39</v>
      </c>
      <c r="O346" s="135">
        <v>0.03</v>
      </c>
      <c r="P346" s="135">
        <f t="shared" si="71"/>
        <v>58.260869999999997</v>
      </c>
      <c r="Q346" s="135">
        <v>0</v>
      </c>
      <c r="R346" s="135">
        <f t="shared" si="72"/>
        <v>0</v>
      </c>
      <c r="S346" s="135">
        <v>0</v>
      </c>
      <c r="T346" s="136">
        <f t="shared" si="73"/>
        <v>0</v>
      </c>
      <c r="AR346" s="137" t="s">
        <v>206</v>
      </c>
      <c r="AT346" s="137" t="s">
        <v>144</v>
      </c>
      <c r="AU346" s="137" t="s">
        <v>143</v>
      </c>
      <c r="AY346" s="15" t="s">
        <v>141</v>
      </c>
      <c r="BE346" s="138">
        <f t="shared" si="74"/>
        <v>0</v>
      </c>
      <c r="BF346" s="138">
        <f t="shared" si="75"/>
        <v>27188.41</v>
      </c>
      <c r="BG346" s="138">
        <f t="shared" si="76"/>
        <v>0</v>
      </c>
      <c r="BH346" s="138">
        <f t="shared" si="77"/>
        <v>0</v>
      </c>
      <c r="BI346" s="138">
        <f t="shared" si="78"/>
        <v>0</v>
      </c>
      <c r="BJ346" s="15" t="s">
        <v>143</v>
      </c>
      <c r="BK346" s="138">
        <f t="shared" si="79"/>
        <v>27188.41</v>
      </c>
      <c r="BL346" s="15" t="s">
        <v>206</v>
      </c>
      <c r="BM346" s="137" t="s">
        <v>805</v>
      </c>
    </row>
    <row r="347" spans="2:65" s="1" customFormat="1" ht="16.5" customHeight="1">
      <c r="B347" s="126"/>
      <c r="C347" s="139" t="s">
        <v>806</v>
      </c>
      <c r="D347" s="139" t="s">
        <v>207</v>
      </c>
      <c r="E347" s="140" t="s">
        <v>807</v>
      </c>
      <c r="F347" s="141" t="s">
        <v>808</v>
      </c>
      <c r="G347" s="142" t="s">
        <v>162</v>
      </c>
      <c r="H347" s="143">
        <v>5.1269999999999998</v>
      </c>
      <c r="I347" s="144">
        <v>11000</v>
      </c>
      <c r="J347" s="144">
        <f t="shared" si="70"/>
        <v>56397</v>
      </c>
      <c r="K347" s="141" t="s">
        <v>148</v>
      </c>
      <c r="L347" s="145"/>
      <c r="M347" s="146" t="s">
        <v>1</v>
      </c>
      <c r="N347" s="147" t="s">
        <v>39</v>
      </c>
      <c r="O347" s="135">
        <v>0</v>
      </c>
      <c r="P347" s="135">
        <f t="shared" si="71"/>
        <v>0</v>
      </c>
      <c r="Q347" s="135">
        <v>0.55000000000000004</v>
      </c>
      <c r="R347" s="135">
        <f t="shared" si="72"/>
        <v>2.8198500000000002</v>
      </c>
      <c r="S347" s="135">
        <v>0</v>
      </c>
      <c r="T347" s="136">
        <f t="shared" si="73"/>
        <v>0</v>
      </c>
      <c r="AR347" s="137" t="s">
        <v>274</v>
      </c>
      <c r="AT347" s="137" t="s">
        <v>207</v>
      </c>
      <c r="AU347" s="137" t="s">
        <v>143</v>
      </c>
      <c r="AY347" s="15" t="s">
        <v>141</v>
      </c>
      <c r="BE347" s="138">
        <f t="shared" si="74"/>
        <v>0</v>
      </c>
      <c r="BF347" s="138">
        <f t="shared" si="75"/>
        <v>56397</v>
      </c>
      <c r="BG347" s="138">
        <f t="shared" si="76"/>
        <v>0</v>
      </c>
      <c r="BH347" s="138">
        <f t="shared" si="77"/>
        <v>0</v>
      </c>
      <c r="BI347" s="138">
        <f t="shared" si="78"/>
        <v>0</v>
      </c>
      <c r="BJ347" s="15" t="s">
        <v>143</v>
      </c>
      <c r="BK347" s="138">
        <f t="shared" si="79"/>
        <v>56397</v>
      </c>
      <c r="BL347" s="15" t="s">
        <v>206</v>
      </c>
      <c r="BM347" s="137" t="s">
        <v>809</v>
      </c>
    </row>
    <row r="348" spans="2:65" s="1" customFormat="1" ht="24.2" customHeight="1">
      <c r="B348" s="126"/>
      <c r="C348" s="127" t="s">
        <v>810</v>
      </c>
      <c r="D348" s="127" t="s">
        <v>144</v>
      </c>
      <c r="E348" s="128" t="s">
        <v>811</v>
      </c>
      <c r="F348" s="129" t="s">
        <v>812</v>
      </c>
      <c r="G348" s="130" t="s">
        <v>162</v>
      </c>
      <c r="H348" s="131">
        <v>40.795000000000002</v>
      </c>
      <c r="I348" s="132">
        <v>1680</v>
      </c>
      <c r="J348" s="132">
        <f t="shared" si="70"/>
        <v>68535.600000000006</v>
      </c>
      <c r="K348" s="129" t="s">
        <v>148</v>
      </c>
      <c r="L348" s="27"/>
      <c r="M348" s="133" t="s">
        <v>1</v>
      </c>
      <c r="N348" s="134" t="s">
        <v>39</v>
      </c>
      <c r="O348" s="135">
        <v>0</v>
      </c>
      <c r="P348" s="135">
        <f t="shared" si="71"/>
        <v>0</v>
      </c>
      <c r="Q348" s="135">
        <v>2.3369999999999998E-2</v>
      </c>
      <c r="R348" s="135">
        <f t="shared" si="72"/>
        <v>0.95337914999999995</v>
      </c>
      <c r="S348" s="135">
        <v>0</v>
      </c>
      <c r="T348" s="136">
        <f t="shared" si="73"/>
        <v>0</v>
      </c>
      <c r="AR348" s="137" t="s">
        <v>206</v>
      </c>
      <c r="AT348" s="137" t="s">
        <v>144</v>
      </c>
      <c r="AU348" s="137" t="s">
        <v>143</v>
      </c>
      <c r="AY348" s="15" t="s">
        <v>141</v>
      </c>
      <c r="BE348" s="138">
        <f t="shared" si="74"/>
        <v>0</v>
      </c>
      <c r="BF348" s="138">
        <f t="shared" si="75"/>
        <v>68535.600000000006</v>
      </c>
      <c r="BG348" s="138">
        <f t="shared" si="76"/>
        <v>0</v>
      </c>
      <c r="BH348" s="138">
        <f t="shared" si="77"/>
        <v>0</v>
      </c>
      <c r="BI348" s="138">
        <f t="shared" si="78"/>
        <v>0</v>
      </c>
      <c r="BJ348" s="15" t="s">
        <v>143</v>
      </c>
      <c r="BK348" s="138">
        <f t="shared" si="79"/>
        <v>68535.600000000006</v>
      </c>
      <c r="BL348" s="15" t="s">
        <v>206</v>
      </c>
      <c r="BM348" s="137" t="s">
        <v>813</v>
      </c>
    </row>
    <row r="349" spans="2:65" s="1" customFormat="1" ht="24.2" customHeight="1">
      <c r="B349" s="126"/>
      <c r="C349" s="127" t="s">
        <v>814</v>
      </c>
      <c r="D349" s="127" t="s">
        <v>144</v>
      </c>
      <c r="E349" s="128" t="s">
        <v>815</v>
      </c>
      <c r="F349" s="129" t="s">
        <v>816</v>
      </c>
      <c r="G349" s="130" t="s">
        <v>565</v>
      </c>
      <c r="H349" s="131">
        <v>14562.808000000001</v>
      </c>
      <c r="I349" s="132">
        <v>5.58</v>
      </c>
      <c r="J349" s="132">
        <f t="shared" si="70"/>
        <v>81260.47</v>
      </c>
      <c r="K349" s="129" t="s">
        <v>148</v>
      </c>
      <c r="L349" s="27"/>
      <c r="M349" s="133" t="s">
        <v>1</v>
      </c>
      <c r="N349" s="134" t="s">
        <v>39</v>
      </c>
      <c r="O349" s="135">
        <v>0</v>
      </c>
      <c r="P349" s="135">
        <f t="shared" si="71"/>
        <v>0</v>
      </c>
      <c r="Q349" s="135">
        <v>0</v>
      </c>
      <c r="R349" s="135">
        <f t="shared" si="72"/>
        <v>0</v>
      </c>
      <c r="S349" s="135">
        <v>0</v>
      </c>
      <c r="T349" s="136">
        <f t="shared" si="73"/>
        <v>0</v>
      </c>
      <c r="AR349" s="137" t="s">
        <v>206</v>
      </c>
      <c r="AT349" s="137" t="s">
        <v>144</v>
      </c>
      <c r="AU349" s="137" t="s">
        <v>143</v>
      </c>
      <c r="AY349" s="15" t="s">
        <v>141</v>
      </c>
      <c r="BE349" s="138">
        <f t="shared" si="74"/>
        <v>0</v>
      </c>
      <c r="BF349" s="138">
        <f t="shared" si="75"/>
        <v>81260.47</v>
      </c>
      <c r="BG349" s="138">
        <f t="shared" si="76"/>
        <v>0</v>
      </c>
      <c r="BH349" s="138">
        <f t="shared" si="77"/>
        <v>0</v>
      </c>
      <c r="BI349" s="138">
        <f t="shared" si="78"/>
        <v>0</v>
      </c>
      <c r="BJ349" s="15" t="s">
        <v>143</v>
      </c>
      <c r="BK349" s="138">
        <f t="shared" si="79"/>
        <v>81260.47</v>
      </c>
      <c r="BL349" s="15" t="s">
        <v>206</v>
      </c>
      <c r="BM349" s="137" t="s">
        <v>817</v>
      </c>
    </row>
    <row r="350" spans="2:65" s="11" customFormat="1" ht="22.9" customHeight="1">
      <c r="B350" s="115"/>
      <c r="D350" s="116" t="s">
        <v>72</v>
      </c>
      <c r="E350" s="124" t="s">
        <v>818</v>
      </c>
      <c r="F350" s="124" t="s">
        <v>819</v>
      </c>
      <c r="J350" s="125">
        <f>BK350</f>
        <v>1153124.81</v>
      </c>
      <c r="L350" s="115"/>
      <c r="M350" s="119"/>
      <c r="P350" s="120">
        <f>SUM(P351:P355)</f>
        <v>1291.6887959999999</v>
      </c>
      <c r="R350" s="120">
        <f>SUM(R351:R355)</f>
        <v>18.824019240000002</v>
      </c>
      <c r="T350" s="121">
        <f>SUM(T351:T355)</f>
        <v>0</v>
      </c>
      <c r="AR350" s="116" t="s">
        <v>143</v>
      </c>
      <c r="AT350" s="122" t="s">
        <v>72</v>
      </c>
      <c r="AU350" s="122" t="s">
        <v>81</v>
      </c>
      <c r="AY350" s="116" t="s">
        <v>141</v>
      </c>
      <c r="BK350" s="123">
        <f>SUM(BK351:BK355)</f>
        <v>1153124.81</v>
      </c>
    </row>
    <row r="351" spans="2:65" s="1" customFormat="1" ht="24.2" customHeight="1">
      <c r="B351" s="126"/>
      <c r="C351" s="127" t="s">
        <v>820</v>
      </c>
      <c r="D351" s="127" t="s">
        <v>144</v>
      </c>
      <c r="E351" s="128" t="s">
        <v>821</v>
      </c>
      <c r="F351" s="129" t="s">
        <v>822</v>
      </c>
      <c r="G351" s="130" t="s">
        <v>157</v>
      </c>
      <c r="H351" s="131">
        <v>497.45299999999997</v>
      </c>
      <c r="I351" s="132">
        <v>856.95</v>
      </c>
      <c r="J351" s="132">
        <f>ROUND(I351*H351,2)</f>
        <v>426292.35</v>
      </c>
      <c r="K351" s="129" t="s">
        <v>1</v>
      </c>
      <c r="L351" s="27"/>
      <c r="M351" s="133" t="s">
        <v>1</v>
      </c>
      <c r="N351" s="134" t="s">
        <v>39</v>
      </c>
      <c r="O351" s="135">
        <v>0.96799999999999997</v>
      </c>
      <c r="P351" s="135">
        <f>O351*H351</f>
        <v>481.53450399999997</v>
      </c>
      <c r="Q351" s="135">
        <v>1.2200000000000001E-2</v>
      </c>
      <c r="R351" s="135">
        <f>Q351*H351</f>
        <v>6.0689266000000002</v>
      </c>
      <c r="S351" s="135">
        <v>0</v>
      </c>
      <c r="T351" s="136">
        <f>S351*H351</f>
        <v>0</v>
      </c>
      <c r="AR351" s="137" t="s">
        <v>206</v>
      </c>
      <c r="AT351" s="137" t="s">
        <v>144</v>
      </c>
      <c r="AU351" s="137" t="s">
        <v>143</v>
      </c>
      <c r="AY351" s="15" t="s">
        <v>141</v>
      </c>
      <c r="BE351" s="138">
        <f>IF(N351="základní",J351,0)</f>
        <v>0</v>
      </c>
      <c r="BF351" s="138">
        <f>IF(N351="snížená",J351,0)</f>
        <v>426292.35</v>
      </c>
      <c r="BG351" s="138">
        <f>IF(N351="zákl. přenesená",J351,0)</f>
        <v>0</v>
      </c>
      <c r="BH351" s="138">
        <f>IF(N351="sníž. přenesená",J351,0)</f>
        <v>0</v>
      </c>
      <c r="BI351" s="138">
        <f>IF(N351="nulová",J351,0)</f>
        <v>0</v>
      </c>
      <c r="BJ351" s="15" t="s">
        <v>143</v>
      </c>
      <c r="BK351" s="138">
        <f>ROUND(I351*H351,2)</f>
        <v>426292.35</v>
      </c>
      <c r="BL351" s="15" t="s">
        <v>206</v>
      </c>
      <c r="BM351" s="137" t="s">
        <v>823</v>
      </c>
    </row>
    <row r="352" spans="2:65" s="1" customFormat="1" ht="24.2" customHeight="1">
      <c r="B352" s="126"/>
      <c r="C352" s="127" t="s">
        <v>824</v>
      </c>
      <c r="D352" s="127" t="s">
        <v>144</v>
      </c>
      <c r="E352" s="128" t="s">
        <v>825</v>
      </c>
      <c r="F352" s="129" t="s">
        <v>826</v>
      </c>
      <c r="G352" s="130" t="s">
        <v>157</v>
      </c>
      <c r="H352" s="131">
        <v>746.93399999999997</v>
      </c>
      <c r="I352" s="132">
        <v>884</v>
      </c>
      <c r="J352" s="132">
        <f>ROUND(I352*H352,2)</f>
        <v>660289.66</v>
      </c>
      <c r="K352" s="129" t="s">
        <v>148</v>
      </c>
      <c r="L352" s="27"/>
      <c r="M352" s="133" t="s">
        <v>1</v>
      </c>
      <c r="N352" s="134" t="s">
        <v>39</v>
      </c>
      <c r="O352" s="135">
        <v>1.018</v>
      </c>
      <c r="P352" s="135">
        <f>O352*H352</f>
        <v>760.37881199999993</v>
      </c>
      <c r="Q352" s="135">
        <v>1.6910000000000001E-2</v>
      </c>
      <c r="R352" s="135">
        <f>Q352*H352</f>
        <v>12.63065394</v>
      </c>
      <c r="S352" s="135">
        <v>0</v>
      </c>
      <c r="T352" s="136">
        <f>S352*H352</f>
        <v>0</v>
      </c>
      <c r="AR352" s="137" t="s">
        <v>206</v>
      </c>
      <c r="AT352" s="137" t="s">
        <v>144</v>
      </c>
      <c r="AU352" s="137" t="s">
        <v>143</v>
      </c>
      <c r="AY352" s="15" t="s">
        <v>141</v>
      </c>
      <c r="BE352" s="138">
        <f>IF(N352="základní",J352,0)</f>
        <v>0</v>
      </c>
      <c r="BF352" s="138">
        <f>IF(N352="snížená",J352,0)</f>
        <v>660289.66</v>
      </c>
      <c r="BG352" s="138">
        <f>IF(N352="zákl. přenesená",J352,0)</f>
        <v>0</v>
      </c>
      <c r="BH352" s="138">
        <f>IF(N352="sníž. přenesená",J352,0)</f>
        <v>0</v>
      </c>
      <c r="BI352" s="138">
        <f>IF(N352="nulová",J352,0)</f>
        <v>0</v>
      </c>
      <c r="BJ352" s="15" t="s">
        <v>143</v>
      </c>
      <c r="BK352" s="138">
        <f>ROUND(I352*H352,2)</f>
        <v>660289.66</v>
      </c>
      <c r="BL352" s="15" t="s">
        <v>206</v>
      </c>
      <c r="BM352" s="137" t="s">
        <v>827</v>
      </c>
    </row>
    <row r="353" spans="2:65" s="1" customFormat="1" ht="16.5" customHeight="1">
      <c r="B353" s="126"/>
      <c r="C353" s="127" t="s">
        <v>828</v>
      </c>
      <c r="D353" s="127" t="s">
        <v>144</v>
      </c>
      <c r="E353" s="128" t="s">
        <v>829</v>
      </c>
      <c r="F353" s="129" t="s">
        <v>830</v>
      </c>
      <c r="G353" s="130" t="s">
        <v>157</v>
      </c>
      <c r="H353" s="131">
        <v>746.93399999999997</v>
      </c>
      <c r="I353" s="132">
        <v>39.6</v>
      </c>
      <c r="J353" s="132">
        <f>ROUND(I353*H353,2)</f>
        <v>29578.59</v>
      </c>
      <c r="K353" s="129" t="s">
        <v>148</v>
      </c>
      <c r="L353" s="27"/>
      <c r="M353" s="133" t="s">
        <v>1</v>
      </c>
      <c r="N353" s="134" t="s">
        <v>39</v>
      </c>
      <c r="O353" s="135">
        <v>0.04</v>
      </c>
      <c r="P353" s="135">
        <f>O353*H353</f>
        <v>29.877359999999999</v>
      </c>
      <c r="Q353" s="135">
        <v>1E-4</v>
      </c>
      <c r="R353" s="135">
        <f>Q353*H353</f>
        <v>7.4693400000000007E-2</v>
      </c>
      <c r="S353" s="135">
        <v>0</v>
      </c>
      <c r="T353" s="136">
        <f>S353*H353</f>
        <v>0</v>
      </c>
      <c r="AR353" s="137" t="s">
        <v>206</v>
      </c>
      <c r="AT353" s="137" t="s">
        <v>144</v>
      </c>
      <c r="AU353" s="137" t="s">
        <v>143</v>
      </c>
      <c r="AY353" s="15" t="s">
        <v>141</v>
      </c>
      <c r="BE353" s="138">
        <f>IF(N353="základní",J353,0)</f>
        <v>0</v>
      </c>
      <c r="BF353" s="138">
        <f>IF(N353="snížená",J353,0)</f>
        <v>29578.59</v>
      </c>
      <c r="BG353" s="138">
        <f>IF(N353="zákl. přenesená",J353,0)</f>
        <v>0</v>
      </c>
      <c r="BH353" s="138">
        <f>IF(N353="sníž. přenesená",J353,0)</f>
        <v>0</v>
      </c>
      <c r="BI353" s="138">
        <f>IF(N353="nulová",J353,0)</f>
        <v>0</v>
      </c>
      <c r="BJ353" s="15" t="s">
        <v>143</v>
      </c>
      <c r="BK353" s="138">
        <f>ROUND(I353*H353,2)</f>
        <v>29578.59</v>
      </c>
      <c r="BL353" s="15" t="s">
        <v>206</v>
      </c>
      <c r="BM353" s="137" t="s">
        <v>831</v>
      </c>
    </row>
    <row r="354" spans="2:65" s="1" customFormat="1" ht="16.5" customHeight="1">
      <c r="B354" s="126"/>
      <c r="C354" s="127" t="s">
        <v>832</v>
      </c>
      <c r="D354" s="127" t="s">
        <v>144</v>
      </c>
      <c r="E354" s="128" t="s">
        <v>829</v>
      </c>
      <c r="F354" s="129" t="s">
        <v>830</v>
      </c>
      <c r="G354" s="130" t="s">
        <v>157</v>
      </c>
      <c r="H354" s="131">
        <v>497.45299999999997</v>
      </c>
      <c r="I354" s="132">
        <v>39.6</v>
      </c>
      <c r="J354" s="132">
        <f>ROUND(I354*H354,2)</f>
        <v>19699.14</v>
      </c>
      <c r="K354" s="129" t="s">
        <v>148</v>
      </c>
      <c r="L354" s="27"/>
      <c r="M354" s="133" t="s">
        <v>1</v>
      </c>
      <c r="N354" s="134" t="s">
        <v>39</v>
      </c>
      <c r="O354" s="135">
        <v>0.04</v>
      </c>
      <c r="P354" s="135">
        <f>O354*H354</f>
        <v>19.898119999999999</v>
      </c>
      <c r="Q354" s="135">
        <v>1E-4</v>
      </c>
      <c r="R354" s="135">
        <f>Q354*H354</f>
        <v>4.9745299999999999E-2</v>
      </c>
      <c r="S354" s="135">
        <v>0</v>
      </c>
      <c r="T354" s="136">
        <f>S354*H354</f>
        <v>0</v>
      </c>
      <c r="AR354" s="137" t="s">
        <v>206</v>
      </c>
      <c r="AT354" s="137" t="s">
        <v>144</v>
      </c>
      <c r="AU354" s="137" t="s">
        <v>143</v>
      </c>
      <c r="AY354" s="15" t="s">
        <v>141</v>
      </c>
      <c r="BE354" s="138">
        <f>IF(N354="základní",J354,0)</f>
        <v>0</v>
      </c>
      <c r="BF354" s="138">
        <f>IF(N354="snížená",J354,0)</f>
        <v>19699.14</v>
      </c>
      <c r="BG354" s="138">
        <f>IF(N354="zákl. přenesená",J354,0)</f>
        <v>0</v>
      </c>
      <c r="BH354" s="138">
        <f>IF(N354="sníž. přenesená",J354,0)</f>
        <v>0</v>
      </c>
      <c r="BI354" s="138">
        <f>IF(N354="nulová",J354,0)</f>
        <v>0</v>
      </c>
      <c r="BJ354" s="15" t="s">
        <v>143</v>
      </c>
      <c r="BK354" s="138">
        <f>ROUND(I354*H354,2)</f>
        <v>19699.14</v>
      </c>
      <c r="BL354" s="15" t="s">
        <v>206</v>
      </c>
      <c r="BM354" s="137" t="s">
        <v>833</v>
      </c>
    </row>
    <row r="355" spans="2:65" s="1" customFormat="1" ht="24.2" customHeight="1">
      <c r="B355" s="126"/>
      <c r="C355" s="127" t="s">
        <v>834</v>
      </c>
      <c r="D355" s="127" t="s">
        <v>144</v>
      </c>
      <c r="E355" s="128" t="s">
        <v>835</v>
      </c>
      <c r="F355" s="129" t="s">
        <v>836</v>
      </c>
      <c r="G355" s="130" t="s">
        <v>565</v>
      </c>
      <c r="H355" s="131">
        <v>11358.597</v>
      </c>
      <c r="I355" s="132">
        <v>1.52</v>
      </c>
      <c r="J355" s="132">
        <f>ROUND(I355*H355,2)</f>
        <v>17265.07</v>
      </c>
      <c r="K355" s="129" t="s">
        <v>148</v>
      </c>
      <c r="L355" s="27"/>
      <c r="M355" s="133" t="s">
        <v>1</v>
      </c>
      <c r="N355" s="134" t="s">
        <v>39</v>
      </c>
      <c r="O355" s="135">
        <v>0</v>
      </c>
      <c r="P355" s="135">
        <f>O355*H355</f>
        <v>0</v>
      </c>
      <c r="Q355" s="135">
        <v>0</v>
      </c>
      <c r="R355" s="135">
        <f>Q355*H355</f>
        <v>0</v>
      </c>
      <c r="S355" s="135">
        <v>0</v>
      </c>
      <c r="T355" s="136">
        <f>S355*H355</f>
        <v>0</v>
      </c>
      <c r="AR355" s="137" t="s">
        <v>206</v>
      </c>
      <c r="AT355" s="137" t="s">
        <v>144</v>
      </c>
      <c r="AU355" s="137" t="s">
        <v>143</v>
      </c>
      <c r="AY355" s="15" t="s">
        <v>141</v>
      </c>
      <c r="BE355" s="138">
        <f>IF(N355="základní",J355,0)</f>
        <v>0</v>
      </c>
      <c r="BF355" s="138">
        <f>IF(N355="snížená",J355,0)</f>
        <v>17265.07</v>
      </c>
      <c r="BG355" s="138">
        <f>IF(N355="zákl. přenesená",J355,0)</f>
        <v>0</v>
      </c>
      <c r="BH355" s="138">
        <f>IF(N355="sníž. přenesená",J355,0)</f>
        <v>0</v>
      </c>
      <c r="BI355" s="138">
        <f>IF(N355="nulová",J355,0)</f>
        <v>0</v>
      </c>
      <c r="BJ355" s="15" t="s">
        <v>143</v>
      </c>
      <c r="BK355" s="138">
        <f>ROUND(I355*H355,2)</f>
        <v>17265.07</v>
      </c>
      <c r="BL355" s="15" t="s">
        <v>206</v>
      </c>
      <c r="BM355" s="137" t="s">
        <v>837</v>
      </c>
    </row>
    <row r="356" spans="2:65" s="11" customFormat="1" ht="22.9" customHeight="1">
      <c r="B356" s="115"/>
      <c r="D356" s="116" t="s">
        <v>72</v>
      </c>
      <c r="E356" s="124" t="s">
        <v>838</v>
      </c>
      <c r="F356" s="124" t="s">
        <v>839</v>
      </c>
      <c r="J356" s="125">
        <f>BK356</f>
        <v>2127601.6799999997</v>
      </c>
      <c r="L356" s="115"/>
      <c r="M356" s="119"/>
      <c r="P356" s="120">
        <f>SUM(P357:P369)</f>
        <v>1144.9754640000001</v>
      </c>
      <c r="R356" s="120">
        <f>SUM(R357:R369)</f>
        <v>3.4653913199999993</v>
      </c>
      <c r="T356" s="121">
        <f>SUM(T357:T369)</f>
        <v>0</v>
      </c>
      <c r="AR356" s="116" t="s">
        <v>143</v>
      </c>
      <c r="AT356" s="122" t="s">
        <v>72</v>
      </c>
      <c r="AU356" s="122" t="s">
        <v>81</v>
      </c>
      <c r="AY356" s="116" t="s">
        <v>141</v>
      </c>
      <c r="BK356" s="123">
        <f>SUM(BK357:BK369)</f>
        <v>2127601.6799999997</v>
      </c>
    </row>
    <row r="357" spans="2:65" s="1" customFormat="1" ht="16.5" customHeight="1">
      <c r="B357" s="126"/>
      <c r="C357" s="127" t="s">
        <v>840</v>
      </c>
      <c r="D357" s="127" t="s">
        <v>144</v>
      </c>
      <c r="E357" s="128" t="s">
        <v>841</v>
      </c>
      <c r="F357" s="129" t="s">
        <v>842</v>
      </c>
      <c r="G357" s="130" t="s">
        <v>429</v>
      </c>
      <c r="H357" s="131">
        <v>7</v>
      </c>
      <c r="I357" s="132">
        <v>460</v>
      </c>
      <c r="J357" s="132">
        <f t="shared" ref="J357:J369" si="80">ROUND(I357*H357,2)</f>
        <v>3220</v>
      </c>
      <c r="K357" s="129" t="s">
        <v>1</v>
      </c>
      <c r="L357" s="27"/>
      <c r="M357" s="133" t="s">
        <v>1</v>
      </c>
      <c r="N357" s="134" t="s">
        <v>39</v>
      </c>
      <c r="O357" s="135">
        <v>0</v>
      </c>
      <c r="P357" s="135">
        <f t="shared" ref="P357:P369" si="81">O357*H357</f>
        <v>0</v>
      </c>
      <c r="Q357" s="135">
        <v>0</v>
      </c>
      <c r="R357" s="135">
        <f t="shared" ref="R357:R369" si="82">Q357*H357</f>
        <v>0</v>
      </c>
      <c r="S357" s="135">
        <v>0</v>
      </c>
      <c r="T357" s="136">
        <f t="shared" ref="T357:T369" si="83">S357*H357</f>
        <v>0</v>
      </c>
      <c r="AR357" s="137" t="s">
        <v>206</v>
      </c>
      <c r="AT357" s="137" t="s">
        <v>144</v>
      </c>
      <c r="AU357" s="137" t="s">
        <v>143</v>
      </c>
      <c r="AY357" s="15" t="s">
        <v>141</v>
      </c>
      <c r="BE357" s="138">
        <f t="shared" ref="BE357:BE369" si="84">IF(N357="základní",J357,0)</f>
        <v>0</v>
      </c>
      <c r="BF357" s="138">
        <f t="shared" ref="BF357:BF369" si="85">IF(N357="snížená",J357,0)</f>
        <v>3220</v>
      </c>
      <c r="BG357" s="138">
        <f t="shared" ref="BG357:BG369" si="86">IF(N357="zákl. přenesená",J357,0)</f>
        <v>0</v>
      </c>
      <c r="BH357" s="138">
        <f t="shared" ref="BH357:BH369" si="87">IF(N357="sníž. přenesená",J357,0)</f>
        <v>0</v>
      </c>
      <c r="BI357" s="138">
        <f t="shared" ref="BI357:BI369" si="88">IF(N357="nulová",J357,0)</f>
        <v>0</v>
      </c>
      <c r="BJ357" s="15" t="s">
        <v>143</v>
      </c>
      <c r="BK357" s="138">
        <f t="shared" ref="BK357:BK369" si="89">ROUND(I357*H357,2)</f>
        <v>3220</v>
      </c>
      <c r="BL357" s="15" t="s">
        <v>206</v>
      </c>
      <c r="BM357" s="137" t="s">
        <v>843</v>
      </c>
    </row>
    <row r="358" spans="2:65" s="1" customFormat="1" ht="24.2" customHeight="1">
      <c r="B358" s="126"/>
      <c r="C358" s="127" t="s">
        <v>844</v>
      </c>
      <c r="D358" s="127" t="s">
        <v>144</v>
      </c>
      <c r="E358" s="128" t="s">
        <v>845</v>
      </c>
      <c r="F358" s="129" t="s">
        <v>846</v>
      </c>
      <c r="G358" s="130" t="s">
        <v>157</v>
      </c>
      <c r="H358" s="131">
        <v>746.93399999999997</v>
      </c>
      <c r="I358" s="132">
        <v>285</v>
      </c>
      <c r="J358" s="132">
        <f t="shared" si="80"/>
        <v>212876.19</v>
      </c>
      <c r="K358" s="129" t="s">
        <v>148</v>
      </c>
      <c r="L358" s="27"/>
      <c r="M358" s="133" t="s">
        <v>1</v>
      </c>
      <c r="N358" s="134" t="s">
        <v>39</v>
      </c>
      <c r="O358" s="135">
        <v>8.3000000000000004E-2</v>
      </c>
      <c r="P358" s="135">
        <f t="shared" si="81"/>
        <v>61.995522000000001</v>
      </c>
      <c r="Q358" s="135">
        <v>5.8E-4</v>
      </c>
      <c r="R358" s="135">
        <f t="shared" si="82"/>
        <v>0.43322171999999998</v>
      </c>
      <c r="S358" s="135">
        <v>0</v>
      </c>
      <c r="T358" s="136">
        <f t="shared" si="83"/>
        <v>0</v>
      </c>
      <c r="AR358" s="137" t="s">
        <v>206</v>
      </c>
      <c r="AT358" s="137" t="s">
        <v>144</v>
      </c>
      <c r="AU358" s="137" t="s">
        <v>143</v>
      </c>
      <c r="AY358" s="15" t="s">
        <v>141</v>
      </c>
      <c r="BE358" s="138">
        <f t="shared" si="84"/>
        <v>0</v>
      </c>
      <c r="BF358" s="138">
        <f t="shared" si="85"/>
        <v>212876.19</v>
      </c>
      <c r="BG358" s="138">
        <f t="shared" si="86"/>
        <v>0</v>
      </c>
      <c r="BH358" s="138">
        <f t="shared" si="87"/>
        <v>0</v>
      </c>
      <c r="BI358" s="138">
        <f t="shared" si="88"/>
        <v>0</v>
      </c>
      <c r="BJ358" s="15" t="s">
        <v>143</v>
      </c>
      <c r="BK358" s="138">
        <f t="shared" si="89"/>
        <v>212876.19</v>
      </c>
      <c r="BL358" s="15" t="s">
        <v>206</v>
      </c>
      <c r="BM358" s="137" t="s">
        <v>847</v>
      </c>
    </row>
    <row r="359" spans="2:65" s="1" customFormat="1" ht="24.2" customHeight="1">
      <c r="B359" s="126"/>
      <c r="C359" s="127" t="s">
        <v>848</v>
      </c>
      <c r="D359" s="127" t="s">
        <v>144</v>
      </c>
      <c r="E359" s="128" t="s">
        <v>849</v>
      </c>
      <c r="F359" s="129" t="s">
        <v>850</v>
      </c>
      <c r="G359" s="130" t="s">
        <v>157</v>
      </c>
      <c r="H359" s="131">
        <v>746.93399999999997</v>
      </c>
      <c r="I359" s="132">
        <v>1480</v>
      </c>
      <c r="J359" s="132">
        <f t="shared" si="80"/>
        <v>1105462.32</v>
      </c>
      <c r="K359" s="129" t="s">
        <v>148</v>
      </c>
      <c r="L359" s="27"/>
      <c r="M359" s="133" t="s">
        <v>1</v>
      </c>
      <c r="N359" s="134" t="s">
        <v>39</v>
      </c>
      <c r="O359" s="135">
        <v>0.95899999999999996</v>
      </c>
      <c r="P359" s="135">
        <f t="shared" si="81"/>
        <v>716.30970599999989</v>
      </c>
      <c r="Q359" s="135">
        <v>2.63E-3</v>
      </c>
      <c r="R359" s="135">
        <f t="shared" si="82"/>
        <v>1.96443642</v>
      </c>
      <c r="S359" s="135">
        <v>0</v>
      </c>
      <c r="T359" s="136">
        <f t="shared" si="83"/>
        <v>0</v>
      </c>
      <c r="AR359" s="137" t="s">
        <v>206</v>
      </c>
      <c r="AT359" s="137" t="s">
        <v>144</v>
      </c>
      <c r="AU359" s="137" t="s">
        <v>143</v>
      </c>
      <c r="AY359" s="15" t="s">
        <v>141</v>
      </c>
      <c r="BE359" s="138">
        <f t="shared" si="84"/>
        <v>0</v>
      </c>
      <c r="BF359" s="138">
        <f t="shared" si="85"/>
        <v>1105462.32</v>
      </c>
      <c r="BG359" s="138">
        <f t="shared" si="86"/>
        <v>0</v>
      </c>
      <c r="BH359" s="138">
        <f t="shared" si="87"/>
        <v>0</v>
      </c>
      <c r="BI359" s="138">
        <f t="shared" si="88"/>
        <v>0</v>
      </c>
      <c r="BJ359" s="15" t="s">
        <v>143</v>
      </c>
      <c r="BK359" s="138">
        <f t="shared" si="89"/>
        <v>1105462.32</v>
      </c>
      <c r="BL359" s="15" t="s">
        <v>206</v>
      </c>
      <c r="BM359" s="137" t="s">
        <v>851</v>
      </c>
    </row>
    <row r="360" spans="2:65" s="1" customFormat="1" ht="24.2" customHeight="1">
      <c r="B360" s="126"/>
      <c r="C360" s="127" t="s">
        <v>852</v>
      </c>
      <c r="D360" s="127" t="s">
        <v>144</v>
      </c>
      <c r="E360" s="128" t="s">
        <v>853</v>
      </c>
      <c r="F360" s="129" t="s">
        <v>854</v>
      </c>
      <c r="G360" s="130" t="s">
        <v>193</v>
      </c>
      <c r="H360" s="131">
        <v>109.2</v>
      </c>
      <c r="I360" s="132">
        <v>1860</v>
      </c>
      <c r="J360" s="132">
        <f t="shared" si="80"/>
        <v>203112</v>
      </c>
      <c r="K360" s="129" t="s">
        <v>148</v>
      </c>
      <c r="L360" s="27"/>
      <c r="M360" s="133" t="s">
        <v>1</v>
      </c>
      <c r="N360" s="134" t="s">
        <v>39</v>
      </c>
      <c r="O360" s="135">
        <v>0.35</v>
      </c>
      <c r="P360" s="135">
        <f t="shared" si="81"/>
        <v>38.22</v>
      </c>
      <c r="Q360" s="135">
        <v>2.8300000000000001E-3</v>
      </c>
      <c r="R360" s="135">
        <f t="shared" si="82"/>
        <v>0.30903600000000003</v>
      </c>
      <c r="S360" s="135">
        <v>0</v>
      </c>
      <c r="T360" s="136">
        <f t="shared" si="83"/>
        <v>0</v>
      </c>
      <c r="AR360" s="137" t="s">
        <v>206</v>
      </c>
      <c r="AT360" s="137" t="s">
        <v>144</v>
      </c>
      <c r="AU360" s="137" t="s">
        <v>143</v>
      </c>
      <c r="AY360" s="15" t="s">
        <v>141</v>
      </c>
      <c r="BE360" s="138">
        <f t="shared" si="84"/>
        <v>0</v>
      </c>
      <c r="BF360" s="138">
        <f t="shared" si="85"/>
        <v>203112</v>
      </c>
      <c r="BG360" s="138">
        <f t="shared" si="86"/>
        <v>0</v>
      </c>
      <c r="BH360" s="138">
        <f t="shared" si="87"/>
        <v>0</v>
      </c>
      <c r="BI360" s="138">
        <f t="shared" si="88"/>
        <v>0</v>
      </c>
      <c r="BJ360" s="15" t="s">
        <v>143</v>
      </c>
      <c r="BK360" s="138">
        <f t="shared" si="89"/>
        <v>203112</v>
      </c>
      <c r="BL360" s="15" t="s">
        <v>206</v>
      </c>
      <c r="BM360" s="137" t="s">
        <v>855</v>
      </c>
    </row>
    <row r="361" spans="2:65" s="1" customFormat="1" ht="24.2" customHeight="1">
      <c r="B361" s="126"/>
      <c r="C361" s="127" t="s">
        <v>856</v>
      </c>
      <c r="D361" s="127" t="s">
        <v>144</v>
      </c>
      <c r="E361" s="128" t="s">
        <v>857</v>
      </c>
      <c r="F361" s="129" t="s">
        <v>858</v>
      </c>
      <c r="G361" s="130" t="s">
        <v>193</v>
      </c>
      <c r="H361" s="131">
        <v>1.508</v>
      </c>
      <c r="I361" s="132">
        <v>680</v>
      </c>
      <c r="J361" s="132">
        <f t="shared" si="80"/>
        <v>1025.44</v>
      </c>
      <c r="K361" s="129" t="s">
        <v>148</v>
      </c>
      <c r="L361" s="27"/>
      <c r="M361" s="133" t="s">
        <v>1</v>
      </c>
      <c r="N361" s="134" t="s">
        <v>39</v>
      </c>
      <c r="O361" s="135">
        <v>0.38600000000000001</v>
      </c>
      <c r="P361" s="135">
        <f t="shared" si="81"/>
        <v>0.58208800000000005</v>
      </c>
      <c r="Q361" s="135">
        <v>1.48E-3</v>
      </c>
      <c r="R361" s="135">
        <f t="shared" si="82"/>
        <v>2.2318400000000001E-3</v>
      </c>
      <c r="S361" s="135">
        <v>0</v>
      </c>
      <c r="T361" s="136">
        <f t="shared" si="83"/>
        <v>0</v>
      </c>
      <c r="AR361" s="137" t="s">
        <v>206</v>
      </c>
      <c r="AT361" s="137" t="s">
        <v>144</v>
      </c>
      <c r="AU361" s="137" t="s">
        <v>143</v>
      </c>
      <c r="AY361" s="15" t="s">
        <v>141</v>
      </c>
      <c r="BE361" s="138">
        <f t="shared" si="84"/>
        <v>0</v>
      </c>
      <c r="BF361" s="138">
        <f t="shared" si="85"/>
        <v>1025.44</v>
      </c>
      <c r="BG361" s="138">
        <f t="shared" si="86"/>
        <v>0</v>
      </c>
      <c r="BH361" s="138">
        <f t="shared" si="87"/>
        <v>0</v>
      </c>
      <c r="BI361" s="138">
        <f t="shared" si="88"/>
        <v>0</v>
      </c>
      <c r="BJ361" s="15" t="s">
        <v>143</v>
      </c>
      <c r="BK361" s="138">
        <f t="shared" si="89"/>
        <v>1025.44</v>
      </c>
      <c r="BL361" s="15" t="s">
        <v>206</v>
      </c>
      <c r="BM361" s="137" t="s">
        <v>859</v>
      </c>
    </row>
    <row r="362" spans="2:65" s="1" customFormat="1" ht="24.2" customHeight="1">
      <c r="B362" s="126"/>
      <c r="C362" s="127" t="s">
        <v>860</v>
      </c>
      <c r="D362" s="127" t="s">
        <v>144</v>
      </c>
      <c r="E362" s="128" t="s">
        <v>861</v>
      </c>
      <c r="F362" s="129" t="s">
        <v>862</v>
      </c>
      <c r="G362" s="130" t="s">
        <v>193</v>
      </c>
      <c r="H362" s="131">
        <v>112.372</v>
      </c>
      <c r="I362" s="132">
        <v>448</v>
      </c>
      <c r="J362" s="132">
        <f t="shared" si="80"/>
        <v>50342.66</v>
      </c>
      <c r="K362" s="129" t="s">
        <v>148</v>
      </c>
      <c r="L362" s="27"/>
      <c r="M362" s="133" t="s">
        <v>1</v>
      </c>
      <c r="N362" s="134" t="s">
        <v>39</v>
      </c>
      <c r="O362" s="135">
        <v>0.26900000000000002</v>
      </c>
      <c r="P362" s="135">
        <f t="shared" si="81"/>
        <v>30.228068</v>
      </c>
      <c r="Q362" s="135">
        <v>8.8999999999999995E-4</v>
      </c>
      <c r="R362" s="135">
        <f t="shared" si="82"/>
        <v>0.10001107999999999</v>
      </c>
      <c r="S362" s="135">
        <v>0</v>
      </c>
      <c r="T362" s="136">
        <f t="shared" si="83"/>
        <v>0</v>
      </c>
      <c r="AR362" s="137" t="s">
        <v>206</v>
      </c>
      <c r="AT362" s="137" t="s">
        <v>144</v>
      </c>
      <c r="AU362" s="137" t="s">
        <v>143</v>
      </c>
      <c r="AY362" s="15" t="s">
        <v>141</v>
      </c>
      <c r="BE362" s="138">
        <f t="shared" si="84"/>
        <v>0</v>
      </c>
      <c r="BF362" s="138">
        <f t="shared" si="85"/>
        <v>50342.66</v>
      </c>
      <c r="BG362" s="138">
        <f t="shared" si="86"/>
        <v>0</v>
      </c>
      <c r="BH362" s="138">
        <f t="shared" si="87"/>
        <v>0</v>
      </c>
      <c r="BI362" s="138">
        <f t="shared" si="88"/>
        <v>0</v>
      </c>
      <c r="BJ362" s="15" t="s">
        <v>143</v>
      </c>
      <c r="BK362" s="138">
        <f t="shared" si="89"/>
        <v>50342.66</v>
      </c>
      <c r="BL362" s="15" t="s">
        <v>206</v>
      </c>
      <c r="BM362" s="137" t="s">
        <v>863</v>
      </c>
    </row>
    <row r="363" spans="2:65" s="1" customFormat="1" ht="33" customHeight="1">
      <c r="B363" s="126"/>
      <c r="C363" s="127" t="s">
        <v>864</v>
      </c>
      <c r="D363" s="127" t="s">
        <v>144</v>
      </c>
      <c r="E363" s="128" t="s">
        <v>865</v>
      </c>
      <c r="F363" s="129" t="s">
        <v>866</v>
      </c>
      <c r="G363" s="130" t="s">
        <v>193</v>
      </c>
      <c r="H363" s="131">
        <v>62.4</v>
      </c>
      <c r="I363" s="132">
        <v>902</v>
      </c>
      <c r="J363" s="132">
        <f t="shared" si="80"/>
        <v>56284.800000000003</v>
      </c>
      <c r="K363" s="129" t="s">
        <v>148</v>
      </c>
      <c r="L363" s="27"/>
      <c r="M363" s="133" t="s">
        <v>1</v>
      </c>
      <c r="N363" s="134" t="s">
        <v>39</v>
      </c>
      <c r="O363" s="135">
        <v>0.77500000000000002</v>
      </c>
      <c r="P363" s="135">
        <f t="shared" si="81"/>
        <v>48.36</v>
      </c>
      <c r="Q363" s="135">
        <v>1.15E-3</v>
      </c>
      <c r="R363" s="135">
        <f t="shared" si="82"/>
        <v>7.175999999999999E-2</v>
      </c>
      <c r="S363" s="135">
        <v>0</v>
      </c>
      <c r="T363" s="136">
        <f t="shared" si="83"/>
        <v>0</v>
      </c>
      <c r="AR363" s="137" t="s">
        <v>206</v>
      </c>
      <c r="AT363" s="137" t="s">
        <v>144</v>
      </c>
      <c r="AU363" s="137" t="s">
        <v>143</v>
      </c>
      <c r="AY363" s="15" t="s">
        <v>141</v>
      </c>
      <c r="BE363" s="138">
        <f t="shared" si="84"/>
        <v>0</v>
      </c>
      <c r="BF363" s="138">
        <f t="shared" si="85"/>
        <v>56284.800000000003</v>
      </c>
      <c r="BG363" s="138">
        <f t="shared" si="86"/>
        <v>0</v>
      </c>
      <c r="BH363" s="138">
        <f t="shared" si="87"/>
        <v>0</v>
      </c>
      <c r="BI363" s="138">
        <f t="shared" si="88"/>
        <v>0</v>
      </c>
      <c r="BJ363" s="15" t="s">
        <v>143</v>
      </c>
      <c r="BK363" s="138">
        <f t="shared" si="89"/>
        <v>56284.800000000003</v>
      </c>
      <c r="BL363" s="15" t="s">
        <v>206</v>
      </c>
      <c r="BM363" s="137" t="s">
        <v>867</v>
      </c>
    </row>
    <row r="364" spans="2:65" s="1" customFormat="1" ht="33" customHeight="1">
      <c r="B364" s="126"/>
      <c r="C364" s="127" t="s">
        <v>868</v>
      </c>
      <c r="D364" s="127" t="s">
        <v>144</v>
      </c>
      <c r="E364" s="128" t="s">
        <v>869</v>
      </c>
      <c r="F364" s="129" t="s">
        <v>870</v>
      </c>
      <c r="G364" s="130" t="s">
        <v>157</v>
      </c>
      <c r="H364" s="131">
        <v>163.482</v>
      </c>
      <c r="I364" s="132">
        <v>1420</v>
      </c>
      <c r="J364" s="132">
        <f t="shared" si="80"/>
        <v>232144.44</v>
      </c>
      <c r="K364" s="129" t="s">
        <v>148</v>
      </c>
      <c r="L364" s="27"/>
      <c r="M364" s="133" t="s">
        <v>1</v>
      </c>
      <c r="N364" s="134" t="s">
        <v>39</v>
      </c>
      <c r="O364" s="135">
        <v>1.125</v>
      </c>
      <c r="P364" s="135">
        <f t="shared" si="81"/>
        <v>183.91725</v>
      </c>
      <c r="Q364" s="135">
        <v>2.0300000000000001E-3</v>
      </c>
      <c r="R364" s="135">
        <f t="shared" si="82"/>
        <v>0.33186846000000003</v>
      </c>
      <c r="S364" s="135">
        <v>0</v>
      </c>
      <c r="T364" s="136">
        <f t="shared" si="83"/>
        <v>0</v>
      </c>
      <c r="AR364" s="137" t="s">
        <v>206</v>
      </c>
      <c r="AT364" s="137" t="s">
        <v>144</v>
      </c>
      <c r="AU364" s="137" t="s">
        <v>143</v>
      </c>
      <c r="AY364" s="15" t="s">
        <v>141</v>
      </c>
      <c r="BE364" s="138">
        <f t="shared" si="84"/>
        <v>0</v>
      </c>
      <c r="BF364" s="138">
        <f t="shared" si="85"/>
        <v>232144.44</v>
      </c>
      <c r="BG364" s="138">
        <f t="shared" si="86"/>
        <v>0</v>
      </c>
      <c r="BH364" s="138">
        <f t="shared" si="87"/>
        <v>0</v>
      </c>
      <c r="BI364" s="138">
        <f t="shared" si="88"/>
        <v>0</v>
      </c>
      <c r="BJ364" s="15" t="s">
        <v>143</v>
      </c>
      <c r="BK364" s="138">
        <f t="shared" si="89"/>
        <v>232144.44</v>
      </c>
      <c r="BL364" s="15" t="s">
        <v>206</v>
      </c>
      <c r="BM364" s="137" t="s">
        <v>871</v>
      </c>
    </row>
    <row r="365" spans="2:65" s="1" customFormat="1" ht="24.2" customHeight="1">
      <c r="B365" s="126"/>
      <c r="C365" s="127" t="s">
        <v>872</v>
      </c>
      <c r="D365" s="127" t="s">
        <v>144</v>
      </c>
      <c r="E365" s="128" t="s">
        <v>873</v>
      </c>
      <c r="F365" s="129" t="s">
        <v>874</v>
      </c>
      <c r="G365" s="130" t="s">
        <v>193</v>
      </c>
      <c r="H365" s="131">
        <v>42.042000000000002</v>
      </c>
      <c r="I365" s="132">
        <v>711</v>
      </c>
      <c r="J365" s="132">
        <f t="shared" si="80"/>
        <v>29891.86</v>
      </c>
      <c r="K365" s="129" t="s">
        <v>148</v>
      </c>
      <c r="L365" s="27"/>
      <c r="M365" s="133" t="s">
        <v>1</v>
      </c>
      <c r="N365" s="134" t="s">
        <v>39</v>
      </c>
      <c r="O365" s="135">
        <v>0.34699999999999998</v>
      </c>
      <c r="P365" s="135">
        <f t="shared" si="81"/>
        <v>14.588573999999999</v>
      </c>
      <c r="Q365" s="135">
        <v>1.4599999999999999E-3</v>
      </c>
      <c r="R365" s="135">
        <f t="shared" si="82"/>
        <v>6.1381319999999996E-2</v>
      </c>
      <c r="S365" s="135">
        <v>0</v>
      </c>
      <c r="T365" s="136">
        <f t="shared" si="83"/>
        <v>0</v>
      </c>
      <c r="AR365" s="137" t="s">
        <v>206</v>
      </c>
      <c r="AT365" s="137" t="s">
        <v>144</v>
      </c>
      <c r="AU365" s="137" t="s">
        <v>143</v>
      </c>
      <c r="AY365" s="15" t="s">
        <v>141</v>
      </c>
      <c r="BE365" s="138">
        <f t="shared" si="84"/>
        <v>0</v>
      </c>
      <c r="BF365" s="138">
        <f t="shared" si="85"/>
        <v>29891.86</v>
      </c>
      <c r="BG365" s="138">
        <f t="shared" si="86"/>
        <v>0</v>
      </c>
      <c r="BH365" s="138">
        <f t="shared" si="87"/>
        <v>0</v>
      </c>
      <c r="BI365" s="138">
        <f t="shared" si="88"/>
        <v>0</v>
      </c>
      <c r="BJ365" s="15" t="s">
        <v>143</v>
      </c>
      <c r="BK365" s="138">
        <f t="shared" si="89"/>
        <v>29891.86</v>
      </c>
      <c r="BL365" s="15" t="s">
        <v>206</v>
      </c>
      <c r="BM365" s="137" t="s">
        <v>875</v>
      </c>
    </row>
    <row r="366" spans="2:65" s="1" customFormat="1" ht="16.5" customHeight="1">
      <c r="B366" s="126"/>
      <c r="C366" s="127" t="s">
        <v>876</v>
      </c>
      <c r="D366" s="127" t="s">
        <v>144</v>
      </c>
      <c r="E366" s="128" t="s">
        <v>877</v>
      </c>
      <c r="F366" s="129" t="s">
        <v>878</v>
      </c>
      <c r="G366" s="130" t="s">
        <v>193</v>
      </c>
      <c r="H366" s="131">
        <v>110.65600000000001</v>
      </c>
      <c r="I366" s="132">
        <v>1200</v>
      </c>
      <c r="J366" s="132">
        <f t="shared" si="80"/>
        <v>132787.20000000001</v>
      </c>
      <c r="K366" s="129" t="s">
        <v>148</v>
      </c>
      <c r="L366" s="27"/>
      <c r="M366" s="133" t="s">
        <v>1</v>
      </c>
      <c r="N366" s="134" t="s">
        <v>39</v>
      </c>
      <c r="O366" s="135">
        <v>0.371</v>
      </c>
      <c r="P366" s="135">
        <f t="shared" si="81"/>
        <v>41.053376</v>
      </c>
      <c r="Q366" s="135">
        <v>1.4300000000000001E-3</v>
      </c>
      <c r="R366" s="135">
        <f t="shared" si="82"/>
        <v>0.15823808</v>
      </c>
      <c r="S366" s="135">
        <v>0</v>
      </c>
      <c r="T366" s="136">
        <f t="shared" si="83"/>
        <v>0</v>
      </c>
      <c r="AR366" s="137" t="s">
        <v>206</v>
      </c>
      <c r="AT366" s="137" t="s">
        <v>144</v>
      </c>
      <c r="AU366" s="137" t="s">
        <v>143</v>
      </c>
      <c r="AY366" s="15" t="s">
        <v>141</v>
      </c>
      <c r="BE366" s="138">
        <f t="shared" si="84"/>
        <v>0</v>
      </c>
      <c r="BF366" s="138">
        <f t="shared" si="85"/>
        <v>132787.20000000001</v>
      </c>
      <c r="BG366" s="138">
        <f t="shared" si="86"/>
        <v>0</v>
      </c>
      <c r="BH366" s="138">
        <f t="shared" si="87"/>
        <v>0</v>
      </c>
      <c r="BI366" s="138">
        <f t="shared" si="88"/>
        <v>0</v>
      </c>
      <c r="BJ366" s="15" t="s">
        <v>143</v>
      </c>
      <c r="BK366" s="138">
        <f t="shared" si="89"/>
        <v>132787.20000000001</v>
      </c>
      <c r="BL366" s="15" t="s">
        <v>206</v>
      </c>
      <c r="BM366" s="137" t="s">
        <v>879</v>
      </c>
    </row>
    <row r="367" spans="2:65" s="1" customFormat="1" ht="24.2" customHeight="1">
      <c r="B367" s="126"/>
      <c r="C367" s="127" t="s">
        <v>880</v>
      </c>
      <c r="D367" s="127" t="s">
        <v>144</v>
      </c>
      <c r="E367" s="128" t="s">
        <v>881</v>
      </c>
      <c r="F367" s="129" t="s">
        <v>882</v>
      </c>
      <c r="G367" s="130" t="s">
        <v>147</v>
      </c>
      <c r="H367" s="131">
        <v>4</v>
      </c>
      <c r="I367" s="132">
        <v>1220</v>
      </c>
      <c r="J367" s="132">
        <f t="shared" si="80"/>
        <v>4880</v>
      </c>
      <c r="K367" s="129" t="s">
        <v>148</v>
      </c>
      <c r="L367" s="27"/>
      <c r="M367" s="133" t="s">
        <v>1</v>
      </c>
      <c r="N367" s="134" t="s">
        <v>39</v>
      </c>
      <c r="O367" s="135">
        <v>0.65</v>
      </c>
      <c r="P367" s="135">
        <f t="shared" si="81"/>
        <v>2.6</v>
      </c>
      <c r="Q367" s="135">
        <v>2.0000000000000001E-4</v>
      </c>
      <c r="R367" s="135">
        <f t="shared" si="82"/>
        <v>8.0000000000000004E-4</v>
      </c>
      <c r="S367" s="135">
        <v>0</v>
      </c>
      <c r="T367" s="136">
        <f t="shared" si="83"/>
        <v>0</v>
      </c>
      <c r="AR367" s="137" t="s">
        <v>206</v>
      </c>
      <c r="AT367" s="137" t="s">
        <v>144</v>
      </c>
      <c r="AU367" s="137" t="s">
        <v>143</v>
      </c>
      <c r="AY367" s="15" t="s">
        <v>141</v>
      </c>
      <c r="BE367" s="138">
        <f t="shared" si="84"/>
        <v>0</v>
      </c>
      <c r="BF367" s="138">
        <f t="shared" si="85"/>
        <v>4880</v>
      </c>
      <c r="BG367" s="138">
        <f t="shared" si="86"/>
        <v>0</v>
      </c>
      <c r="BH367" s="138">
        <f t="shared" si="87"/>
        <v>0</v>
      </c>
      <c r="BI367" s="138">
        <f t="shared" si="88"/>
        <v>0</v>
      </c>
      <c r="BJ367" s="15" t="s">
        <v>143</v>
      </c>
      <c r="BK367" s="138">
        <f t="shared" si="89"/>
        <v>4880</v>
      </c>
      <c r="BL367" s="15" t="s">
        <v>206</v>
      </c>
      <c r="BM367" s="137" t="s">
        <v>883</v>
      </c>
    </row>
    <row r="368" spans="2:65" s="1" customFormat="1" ht="24.2" customHeight="1">
      <c r="B368" s="126"/>
      <c r="C368" s="127" t="s">
        <v>884</v>
      </c>
      <c r="D368" s="127" t="s">
        <v>144</v>
      </c>
      <c r="E368" s="128" t="s">
        <v>885</v>
      </c>
      <c r="F368" s="129" t="s">
        <v>886</v>
      </c>
      <c r="G368" s="130" t="s">
        <v>193</v>
      </c>
      <c r="H368" s="131">
        <v>21.32</v>
      </c>
      <c r="I368" s="132">
        <v>2950</v>
      </c>
      <c r="J368" s="132">
        <f t="shared" si="80"/>
        <v>62894</v>
      </c>
      <c r="K368" s="129" t="s">
        <v>148</v>
      </c>
      <c r="L368" s="27"/>
      <c r="M368" s="133" t="s">
        <v>1</v>
      </c>
      <c r="N368" s="134" t="s">
        <v>39</v>
      </c>
      <c r="O368" s="135">
        <v>0.33400000000000002</v>
      </c>
      <c r="P368" s="135">
        <f t="shared" si="81"/>
        <v>7.1208800000000005</v>
      </c>
      <c r="Q368" s="135">
        <v>1.5200000000000001E-3</v>
      </c>
      <c r="R368" s="135">
        <f t="shared" si="82"/>
        <v>3.2406400000000002E-2</v>
      </c>
      <c r="S368" s="135">
        <v>0</v>
      </c>
      <c r="T368" s="136">
        <f t="shared" si="83"/>
        <v>0</v>
      </c>
      <c r="AR368" s="137" t="s">
        <v>206</v>
      </c>
      <c r="AT368" s="137" t="s">
        <v>144</v>
      </c>
      <c r="AU368" s="137" t="s">
        <v>143</v>
      </c>
      <c r="AY368" s="15" t="s">
        <v>141</v>
      </c>
      <c r="BE368" s="138">
        <f t="shared" si="84"/>
        <v>0</v>
      </c>
      <c r="BF368" s="138">
        <f t="shared" si="85"/>
        <v>62894</v>
      </c>
      <c r="BG368" s="138">
        <f t="shared" si="86"/>
        <v>0</v>
      </c>
      <c r="BH368" s="138">
        <f t="shared" si="87"/>
        <v>0</v>
      </c>
      <c r="BI368" s="138">
        <f t="shared" si="88"/>
        <v>0</v>
      </c>
      <c r="BJ368" s="15" t="s">
        <v>143</v>
      </c>
      <c r="BK368" s="138">
        <f t="shared" si="89"/>
        <v>62894</v>
      </c>
      <c r="BL368" s="15" t="s">
        <v>206</v>
      </c>
      <c r="BM368" s="137" t="s">
        <v>887</v>
      </c>
    </row>
    <row r="369" spans="2:65" s="1" customFormat="1" ht="24.2" customHeight="1">
      <c r="B369" s="126"/>
      <c r="C369" s="127" t="s">
        <v>888</v>
      </c>
      <c r="D369" s="127" t="s">
        <v>144</v>
      </c>
      <c r="E369" s="128" t="s">
        <v>889</v>
      </c>
      <c r="F369" s="129" t="s">
        <v>890</v>
      </c>
      <c r="G369" s="130" t="s">
        <v>565</v>
      </c>
      <c r="H369" s="131">
        <v>20949.208999999999</v>
      </c>
      <c r="I369" s="132">
        <v>1.56</v>
      </c>
      <c r="J369" s="132">
        <f t="shared" si="80"/>
        <v>32680.77</v>
      </c>
      <c r="K369" s="129" t="s">
        <v>148</v>
      </c>
      <c r="L369" s="27"/>
      <c r="M369" s="133" t="s">
        <v>1</v>
      </c>
      <c r="N369" s="134" t="s">
        <v>39</v>
      </c>
      <c r="O369" s="135">
        <v>0</v>
      </c>
      <c r="P369" s="135">
        <f t="shared" si="81"/>
        <v>0</v>
      </c>
      <c r="Q369" s="135">
        <v>0</v>
      </c>
      <c r="R369" s="135">
        <f t="shared" si="82"/>
        <v>0</v>
      </c>
      <c r="S369" s="135">
        <v>0</v>
      </c>
      <c r="T369" s="136">
        <f t="shared" si="83"/>
        <v>0</v>
      </c>
      <c r="AR369" s="137" t="s">
        <v>206</v>
      </c>
      <c r="AT369" s="137" t="s">
        <v>144</v>
      </c>
      <c r="AU369" s="137" t="s">
        <v>143</v>
      </c>
      <c r="AY369" s="15" t="s">
        <v>141</v>
      </c>
      <c r="BE369" s="138">
        <f t="shared" si="84"/>
        <v>0</v>
      </c>
      <c r="BF369" s="138">
        <f t="shared" si="85"/>
        <v>32680.77</v>
      </c>
      <c r="BG369" s="138">
        <f t="shared" si="86"/>
        <v>0</v>
      </c>
      <c r="BH369" s="138">
        <f t="shared" si="87"/>
        <v>0</v>
      </c>
      <c r="BI369" s="138">
        <f t="shared" si="88"/>
        <v>0</v>
      </c>
      <c r="BJ369" s="15" t="s">
        <v>143</v>
      </c>
      <c r="BK369" s="138">
        <f t="shared" si="89"/>
        <v>32680.77</v>
      </c>
      <c r="BL369" s="15" t="s">
        <v>206</v>
      </c>
      <c r="BM369" s="137" t="s">
        <v>891</v>
      </c>
    </row>
    <row r="370" spans="2:65" s="11" customFormat="1" ht="22.9" customHeight="1">
      <c r="B370" s="115"/>
      <c r="D370" s="116" t="s">
        <v>72</v>
      </c>
      <c r="E370" s="124" t="s">
        <v>892</v>
      </c>
      <c r="F370" s="124" t="s">
        <v>893</v>
      </c>
      <c r="J370" s="125">
        <f>BK370</f>
        <v>1251281.45</v>
      </c>
      <c r="L370" s="115"/>
      <c r="M370" s="119"/>
      <c r="P370" s="120">
        <f>SUM(P371:P382)</f>
        <v>0</v>
      </c>
      <c r="R370" s="120">
        <f>SUM(R371:R382)</f>
        <v>0</v>
      </c>
      <c r="T370" s="121">
        <f>SUM(T371:T382)</f>
        <v>0</v>
      </c>
      <c r="AR370" s="116" t="s">
        <v>143</v>
      </c>
      <c r="AT370" s="122" t="s">
        <v>72</v>
      </c>
      <c r="AU370" s="122" t="s">
        <v>81</v>
      </c>
      <c r="AY370" s="116" t="s">
        <v>141</v>
      </c>
      <c r="BK370" s="123">
        <f>SUM(BK371:BK382)</f>
        <v>1251281.45</v>
      </c>
    </row>
    <row r="371" spans="2:65" s="1" customFormat="1" ht="37.9" customHeight="1">
      <c r="B371" s="126"/>
      <c r="C371" s="127" t="s">
        <v>894</v>
      </c>
      <c r="D371" s="127" t="s">
        <v>144</v>
      </c>
      <c r="E371" s="128" t="s">
        <v>895</v>
      </c>
      <c r="F371" s="129" t="s">
        <v>896</v>
      </c>
      <c r="G371" s="130" t="s">
        <v>450</v>
      </c>
      <c r="H371" s="131">
        <v>13</v>
      </c>
      <c r="I371" s="132">
        <v>15300</v>
      </c>
      <c r="J371" s="132">
        <f t="shared" ref="J371:J379" si="90">ROUND(I371*H371,2)</f>
        <v>198900</v>
      </c>
      <c r="K371" s="129" t="s">
        <v>1</v>
      </c>
      <c r="L371" s="27"/>
      <c r="M371" s="133" t="s">
        <v>1</v>
      </c>
      <c r="N371" s="134" t="s">
        <v>39</v>
      </c>
      <c r="O371" s="135">
        <v>0</v>
      </c>
      <c r="P371" s="135">
        <f t="shared" ref="P371:P379" si="91">O371*H371</f>
        <v>0</v>
      </c>
      <c r="Q371" s="135">
        <v>0</v>
      </c>
      <c r="R371" s="135">
        <f t="shared" ref="R371:R379" si="92">Q371*H371</f>
        <v>0</v>
      </c>
      <c r="S371" s="135">
        <v>0</v>
      </c>
      <c r="T371" s="136">
        <f t="shared" ref="T371:T379" si="93">S371*H371</f>
        <v>0</v>
      </c>
      <c r="AR371" s="137" t="s">
        <v>206</v>
      </c>
      <c r="AT371" s="137" t="s">
        <v>144</v>
      </c>
      <c r="AU371" s="137" t="s">
        <v>143</v>
      </c>
      <c r="AY371" s="15" t="s">
        <v>141</v>
      </c>
      <c r="BE371" s="138">
        <f t="shared" ref="BE371:BE379" si="94">IF(N371="základní",J371,0)</f>
        <v>0</v>
      </c>
      <c r="BF371" s="138">
        <f t="shared" ref="BF371:BF379" si="95">IF(N371="snížená",J371,0)</f>
        <v>198900</v>
      </c>
      <c r="BG371" s="138">
        <f t="shared" ref="BG371:BG379" si="96">IF(N371="zákl. přenesená",J371,0)</f>
        <v>0</v>
      </c>
      <c r="BH371" s="138">
        <f t="shared" ref="BH371:BH379" si="97">IF(N371="sníž. přenesená",J371,0)</f>
        <v>0</v>
      </c>
      <c r="BI371" s="138">
        <f t="shared" ref="BI371:BI379" si="98">IF(N371="nulová",J371,0)</f>
        <v>0</v>
      </c>
      <c r="BJ371" s="15" t="s">
        <v>143</v>
      </c>
      <c r="BK371" s="138">
        <f t="shared" ref="BK371:BK379" si="99">ROUND(I371*H371,2)</f>
        <v>198900</v>
      </c>
      <c r="BL371" s="15" t="s">
        <v>206</v>
      </c>
      <c r="BM371" s="137" t="s">
        <v>897</v>
      </c>
    </row>
    <row r="372" spans="2:65" s="1" customFormat="1" ht="16.5" customHeight="1">
      <c r="B372" s="126"/>
      <c r="C372" s="127" t="s">
        <v>898</v>
      </c>
      <c r="D372" s="127" t="s">
        <v>144</v>
      </c>
      <c r="E372" s="128" t="s">
        <v>899</v>
      </c>
      <c r="F372" s="129" t="s">
        <v>900</v>
      </c>
      <c r="G372" s="130" t="s">
        <v>450</v>
      </c>
      <c r="H372" s="131">
        <v>28</v>
      </c>
      <c r="I372" s="132">
        <v>11400</v>
      </c>
      <c r="J372" s="132">
        <f t="shared" si="90"/>
        <v>319200</v>
      </c>
      <c r="K372" s="129" t="s">
        <v>1</v>
      </c>
      <c r="L372" s="27"/>
      <c r="M372" s="133" t="s">
        <v>1</v>
      </c>
      <c r="N372" s="134" t="s">
        <v>39</v>
      </c>
      <c r="O372" s="135">
        <v>0</v>
      </c>
      <c r="P372" s="135">
        <f t="shared" si="91"/>
        <v>0</v>
      </c>
      <c r="Q372" s="135">
        <v>0</v>
      </c>
      <c r="R372" s="135">
        <f t="shared" si="92"/>
        <v>0</v>
      </c>
      <c r="S372" s="135">
        <v>0</v>
      </c>
      <c r="T372" s="136">
        <f t="shared" si="93"/>
        <v>0</v>
      </c>
      <c r="AR372" s="137" t="s">
        <v>206</v>
      </c>
      <c r="AT372" s="137" t="s">
        <v>144</v>
      </c>
      <c r="AU372" s="137" t="s">
        <v>143</v>
      </c>
      <c r="AY372" s="15" t="s">
        <v>141</v>
      </c>
      <c r="BE372" s="138">
        <f t="shared" si="94"/>
        <v>0</v>
      </c>
      <c r="BF372" s="138">
        <f t="shared" si="95"/>
        <v>319200</v>
      </c>
      <c r="BG372" s="138">
        <f t="shared" si="96"/>
        <v>0</v>
      </c>
      <c r="BH372" s="138">
        <f t="shared" si="97"/>
        <v>0</v>
      </c>
      <c r="BI372" s="138">
        <f t="shared" si="98"/>
        <v>0</v>
      </c>
      <c r="BJ372" s="15" t="s">
        <v>143</v>
      </c>
      <c r="BK372" s="138">
        <f t="shared" si="99"/>
        <v>319200</v>
      </c>
      <c r="BL372" s="15" t="s">
        <v>206</v>
      </c>
      <c r="BM372" s="137" t="s">
        <v>901</v>
      </c>
    </row>
    <row r="373" spans="2:65" s="1" customFormat="1" ht="16.5" customHeight="1">
      <c r="B373" s="126"/>
      <c r="C373" s="127" t="s">
        <v>902</v>
      </c>
      <c r="D373" s="127" t="s">
        <v>144</v>
      </c>
      <c r="E373" s="128" t="s">
        <v>903</v>
      </c>
      <c r="F373" s="129" t="s">
        <v>904</v>
      </c>
      <c r="G373" s="130" t="s">
        <v>450</v>
      </c>
      <c r="H373" s="131">
        <v>8</v>
      </c>
      <c r="I373" s="132">
        <v>10800</v>
      </c>
      <c r="J373" s="132">
        <f t="shared" si="90"/>
        <v>86400</v>
      </c>
      <c r="K373" s="129" t="s">
        <v>1</v>
      </c>
      <c r="L373" s="27"/>
      <c r="M373" s="133" t="s">
        <v>1</v>
      </c>
      <c r="N373" s="134" t="s">
        <v>39</v>
      </c>
      <c r="O373" s="135">
        <v>0</v>
      </c>
      <c r="P373" s="135">
        <f t="shared" si="91"/>
        <v>0</v>
      </c>
      <c r="Q373" s="135">
        <v>0</v>
      </c>
      <c r="R373" s="135">
        <f t="shared" si="92"/>
        <v>0</v>
      </c>
      <c r="S373" s="135">
        <v>0</v>
      </c>
      <c r="T373" s="136">
        <f t="shared" si="93"/>
        <v>0</v>
      </c>
      <c r="AR373" s="137" t="s">
        <v>206</v>
      </c>
      <c r="AT373" s="137" t="s">
        <v>144</v>
      </c>
      <c r="AU373" s="137" t="s">
        <v>143</v>
      </c>
      <c r="AY373" s="15" t="s">
        <v>141</v>
      </c>
      <c r="BE373" s="138">
        <f t="shared" si="94"/>
        <v>0</v>
      </c>
      <c r="BF373" s="138">
        <f t="shared" si="95"/>
        <v>86400</v>
      </c>
      <c r="BG373" s="138">
        <f t="shared" si="96"/>
        <v>0</v>
      </c>
      <c r="BH373" s="138">
        <f t="shared" si="97"/>
        <v>0</v>
      </c>
      <c r="BI373" s="138">
        <f t="shared" si="98"/>
        <v>0</v>
      </c>
      <c r="BJ373" s="15" t="s">
        <v>143</v>
      </c>
      <c r="BK373" s="138">
        <f t="shared" si="99"/>
        <v>86400</v>
      </c>
      <c r="BL373" s="15" t="s">
        <v>206</v>
      </c>
      <c r="BM373" s="137" t="s">
        <v>905</v>
      </c>
    </row>
    <row r="374" spans="2:65" s="1" customFormat="1" ht="16.5" customHeight="1">
      <c r="B374" s="126"/>
      <c r="C374" s="127" t="s">
        <v>906</v>
      </c>
      <c r="D374" s="127" t="s">
        <v>144</v>
      </c>
      <c r="E374" s="128" t="s">
        <v>907</v>
      </c>
      <c r="F374" s="129" t="s">
        <v>908</v>
      </c>
      <c r="G374" s="130" t="s">
        <v>450</v>
      </c>
      <c r="H374" s="131">
        <v>1</v>
      </c>
      <c r="I374" s="132">
        <v>9700</v>
      </c>
      <c r="J374" s="132">
        <f t="shared" si="90"/>
        <v>9700</v>
      </c>
      <c r="K374" s="129" t="s">
        <v>1</v>
      </c>
      <c r="L374" s="27"/>
      <c r="M374" s="133" t="s">
        <v>1</v>
      </c>
      <c r="N374" s="134" t="s">
        <v>39</v>
      </c>
      <c r="O374" s="135">
        <v>0</v>
      </c>
      <c r="P374" s="135">
        <f t="shared" si="91"/>
        <v>0</v>
      </c>
      <c r="Q374" s="135">
        <v>0</v>
      </c>
      <c r="R374" s="135">
        <f t="shared" si="92"/>
        <v>0</v>
      </c>
      <c r="S374" s="135">
        <v>0</v>
      </c>
      <c r="T374" s="136">
        <f t="shared" si="93"/>
        <v>0</v>
      </c>
      <c r="AR374" s="137" t="s">
        <v>206</v>
      </c>
      <c r="AT374" s="137" t="s">
        <v>144</v>
      </c>
      <c r="AU374" s="137" t="s">
        <v>143</v>
      </c>
      <c r="AY374" s="15" t="s">
        <v>141</v>
      </c>
      <c r="BE374" s="138">
        <f t="shared" si="94"/>
        <v>0</v>
      </c>
      <c r="BF374" s="138">
        <f t="shared" si="95"/>
        <v>9700</v>
      </c>
      <c r="BG374" s="138">
        <f t="shared" si="96"/>
        <v>0</v>
      </c>
      <c r="BH374" s="138">
        <f t="shared" si="97"/>
        <v>0</v>
      </c>
      <c r="BI374" s="138">
        <f t="shared" si="98"/>
        <v>0</v>
      </c>
      <c r="BJ374" s="15" t="s">
        <v>143</v>
      </c>
      <c r="BK374" s="138">
        <f t="shared" si="99"/>
        <v>9700</v>
      </c>
      <c r="BL374" s="15" t="s">
        <v>206</v>
      </c>
      <c r="BM374" s="137" t="s">
        <v>909</v>
      </c>
    </row>
    <row r="375" spans="2:65" s="1" customFormat="1" ht="24.2" customHeight="1">
      <c r="B375" s="126"/>
      <c r="C375" s="127" t="s">
        <v>910</v>
      </c>
      <c r="D375" s="127" t="s">
        <v>144</v>
      </c>
      <c r="E375" s="128" t="s">
        <v>911</v>
      </c>
      <c r="F375" s="129" t="s">
        <v>912</v>
      </c>
      <c r="G375" s="130" t="s">
        <v>450</v>
      </c>
      <c r="H375" s="131">
        <v>6</v>
      </c>
      <c r="I375" s="132">
        <v>15600</v>
      </c>
      <c r="J375" s="132">
        <f t="shared" si="90"/>
        <v>93600</v>
      </c>
      <c r="K375" s="129" t="s">
        <v>1</v>
      </c>
      <c r="L375" s="27"/>
      <c r="M375" s="133" t="s">
        <v>1</v>
      </c>
      <c r="N375" s="134" t="s">
        <v>39</v>
      </c>
      <c r="O375" s="135">
        <v>0</v>
      </c>
      <c r="P375" s="135">
        <f t="shared" si="91"/>
        <v>0</v>
      </c>
      <c r="Q375" s="135">
        <v>0</v>
      </c>
      <c r="R375" s="135">
        <f t="shared" si="92"/>
        <v>0</v>
      </c>
      <c r="S375" s="135">
        <v>0</v>
      </c>
      <c r="T375" s="136">
        <f t="shared" si="93"/>
        <v>0</v>
      </c>
      <c r="AR375" s="137" t="s">
        <v>206</v>
      </c>
      <c r="AT375" s="137" t="s">
        <v>144</v>
      </c>
      <c r="AU375" s="137" t="s">
        <v>143</v>
      </c>
      <c r="AY375" s="15" t="s">
        <v>141</v>
      </c>
      <c r="BE375" s="138">
        <f t="shared" si="94"/>
        <v>0</v>
      </c>
      <c r="BF375" s="138">
        <f t="shared" si="95"/>
        <v>93600</v>
      </c>
      <c r="BG375" s="138">
        <f t="shared" si="96"/>
        <v>0</v>
      </c>
      <c r="BH375" s="138">
        <f t="shared" si="97"/>
        <v>0</v>
      </c>
      <c r="BI375" s="138">
        <f t="shared" si="98"/>
        <v>0</v>
      </c>
      <c r="BJ375" s="15" t="s">
        <v>143</v>
      </c>
      <c r="BK375" s="138">
        <f t="shared" si="99"/>
        <v>93600</v>
      </c>
      <c r="BL375" s="15" t="s">
        <v>206</v>
      </c>
      <c r="BM375" s="137" t="s">
        <v>913</v>
      </c>
    </row>
    <row r="376" spans="2:65" s="1" customFormat="1" ht="16.5" customHeight="1">
      <c r="B376" s="126"/>
      <c r="C376" s="127" t="s">
        <v>914</v>
      </c>
      <c r="D376" s="127" t="s">
        <v>144</v>
      </c>
      <c r="E376" s="128" t="s">
        <v>915</v>
      </c>
      <c r="F376" s="129" t="s">
        <v>916</v>
      </c>
      <c r="G376" s="130" t="s">
        <v>450</v>
      </c>
      <c r="H376" s="131">
        <v>1</v>
      </c>
      <c r="I376" s="132">
        <v>16400</v>
      </c>
      <c r="J376" s="132">
        <f t="shared" si="90"/>
        <v>16400</v>
      </c>
      <c r="K376" s="129" t="s">
        <v>1</v>
      </c>
      <c r="L376" s="27"/>
      <c r="M376" s="133" t="s">
        <v>1</v>
      </c>
      <c r="N376" s="134" t="s">
        <v>39</v>
      </c>
      <c r="O376" s="135">
        <v>0</v>
      </c>
      <c r="P376" s="135">
        <f t="shared" si="91"/>
        <v>0</v>
      </c>
      <c r="Q376" s="135">
        <v>0</v>
      </c>
      <c r="R376" s="135">
        <f t="shared" si="92"/>
        <v>0</v>
      </c>
      <c r="S376" s="135">
        <v>0</v>
      </c>
      <c r="T376" s="136">
        <f t="shared" si="93"/>
        <v>0</v>
      </c>
      <c r="AR376" s="137" t="s">
        <v>206</v>
      </c>
      <c r="AT376" s="137" t="s">
        <v>144</v>
      </c>
      <c r="AU376" s="137" t="s">
        <v>143</v>
      </c>
      <c r="AY376" s="15" t="s">
        <v>141</v>
      </c>
      <c r="BE376" s="138">
        <f t="shared" si="94"/>
        <v>0</v>
      </c>
      <c r="BF376" s="138">
        <f t="shared" si="95"/>
        <v>16400</v>
      </c>
      <c r="BG376" s="138">
        <f t="shared" si="96"/>
        <v>0</v>
      </c>
      <c r="BH376" s="138">
        <f t="shared" si="97"/>
        <v>0</v>
      </c>
      <c r="BI376" s="138">
        <f t="shared" si="98"/>
        <v>0</v>
      </c>
      <c r="BJ376" s="15" t="s">
        <v>143</v>
      </c>
      <c r="BK376" s="138">
        <f t="shared" si="99"/>
        <v>16400</v>
      </c>
      <c r="BL376" s="15" t="s">
        <v>206</v>
      </c>
      <c r="BM376" s="137" t="s">
        <v>917</v>
      </c>
    </row>
    <row r="377" spans="2:65" s="1" customFormat="1" ht="16.5" customHeight="1">
      <c r="B377" s="126"/>
      <c r="C377" s="127" t="s">
        <v>918</v>
      </c>
      <c r="D377" s="127" t="s">
        <v>144</v>
      </c>
      <c r="E377" s="128" t="s">
        <v>919</v>
      </c>
      <c r="F377" s="129" t="s">
        <v>920</v>
      </c>
      <c r="G377" s="130" t="s">
        <v>450</v>
      </c>
      <c r="H377" s="131">
        <v>1</v>
      </c>
      <c r="I377" s="132">
        <v>21000</v>
      </c>
      <c r="J377" s="132">
        <f t="shared" si="90"/>
        <v>21000</v>
      </c>
      <c r="K377" s="129" t="s">
        <v>1</v>
      </c>
      <c r="L377" s="27"/>
      <c r="M377" s="133" t="s">
        <v>1</v>
      </c>
      <c r="N377" s="134" t="s">
        <v>39</v>
      </c>
      <c r="O377" s="135">
        <v>0</v>
      </c>
      <c r="P377" s="135">
        <f t="shared" si="91"/>
        <v>0</v>
      </c>
      <c r="Q377" s="135">
        <v>0</v>
      </c>
      <c r="R377" s="135">
        <f t="shared" si="92"/>
        <v>0</v>
      </c>
      <c r="S377" s="135">
        <v>0</v>
      </c>
      <c r="T377" s="136">
        <f t="shared" si="93"/>
        <v>0</v>
      </c>
      <c r="AR377" s="137" t="s">
        <v>206</v>
      </c>
      <c r="AT377" s="137" t="s">
        <v>144</v>
      </c>
      <c r="AU377" s="137" t="s">
        <v>143</v>
      </c>
      <c r="AY377" s="15" t="s">
        <v>141</v>
      </c>
      <c r="BE377" s="138">
        <f t="shared" si="94"/>
        <v>0</v>
      </c>
      <c r="BF377" s="138">
        <f t="shared" si="95"/>
        <v>21000</v>
      </c>
      <c r="BG377" s="138">
        <f t="shared" si="96"/>
        <v>0</v>
      </c>
      <c r="BH377" s="138">
        <f t="shared" si="97"/>
        <v>0</v>
      </c>
      <c r="BI377" s="138">
        <f t="shared" si="98"/>
        <v>0</v>
      </c>
      <c r="BJ377" s="15" t="s">
        <v>143</v>
      </c>
      <c r="BK377" s="138">
        <f t="shared" si="99"/>
        <v>21000</v>
      </c>
      <c r="BL377" s="15" t="s">
        <v>206</v>
      </c>
      <c r="BM377" s="137" t="s">
        <v>921</v>
      </c>
    </row>
    <row r="378" spans="2:65" s="1" customFormat="1" ht="24.2" customHeight="1">
      <c r="B378" s="126"/>
      <c r="C378" s="127" t="s">
        <v>922</v>
      </c>
      <c r="D378" s="127" t="s">
        <v>144</v>
      </c>
      <c r="E378" s="128" t="s">
        <v>923</v>
      </c>
      <c r="F378" s="129" t="s">
        <v>924</v>
      </c>
      <c r="G378" s="130" t="s">
        <v>455</v>
      </c>
      <c r="H378" s="131">
        <v>58.76</v>
      </c>
      <c r="I378" s="132">
        <v>1700</v>
      </c>
      <c r="J378" s="132">
        <f t="shared" si="90"/>
        <v>99892</v>
      </c>
      <c r="K378" s="129" t="s">
        <v>1</v>
      </c>
      <c r="L378" s="27"/>
      <c r="M378" s="133" t="s">
        <v>1</v>
      </c>
      <c r="N378" s="134" t="s">
        <v>39</v>
      </c>
      <c r="O378" s="135">
        <v>0</v>
      </c>
      <c r="P378" s="135">
        <f t="shared" si="91"/>
        <v>0</v>
      </c>
      <c r="Q378" s="135">
        <v>0</v>
      </c>
      <c r="R378" s="135">
        <f t="shared" si="92"/>
        <v>0</v>
      </c>
      <c r="S378" s="135">
        <v>0</v>
      </c>
      <c r="T378" s="136">
        <f t="shared" si="93"/>
        <v>0</v>
      </c>
      <c r="AR378" s="137" t="s">
        <v>206</v>
      </c>
      <c r="AT378" s="137" t="s">
        <v>144</v>
      </c>
      <c r="AU378" s="137" t="s">
        <v>143</v>
      </c>
      <c r="AY378" s="15" t="s">
        <v>141</v>
      </c>
      <c r="BE378" s="138">
        <f t="shared" si="94"/>
        <v>0</v>
      </c>
      <c r="BF378" s="138">
        <f t="shared" si="95"/>
        <v>99892</v>
      </c>
      <c r="BG378" s="138">
        <f t="shared" si="96"/>
        <v>0</v>
      </c>
      <c r="BH378" s="138">
        <f t="shared" si="97"/>
        <v>0</v>
      </c>
      <c r="BI378" s="138">
        <f t="shared" si="98"/>
        <v>0</v>
      </c>
      <c r="BJ378" s="15" t="s">
        <v>143</v>
      </c>
      <c r="BK378" s="138">
        <f t="shared" si="99"/>
        <v>99892</v>
      </c>
      <c r="BL378" s="15" t="s">
        <v>206</v>
      </c>
      <c r="BM378" s="137" t="s">
        <v>925</v>
      </c>
    </row>
    <row r="379" spans="2:65" s="1" customFormat="1" ht="16.5" customHeight="1">
      <c r="B379" s="126"/>
      <c r="C379" s="127" t="s">
        <v>926</v>
      </c>
      <c r="D379" s="127" t="s">
        <v>144</v>
      </c>
      <c r="E379" s="128" t="s">
        <v>927</v>
      </c>
      <c r="F379" s="129" t="s">
        <v>928</v>
      </c>
      <c r="G379" s="130" t="s">
        <v>429</v>
      </c>
      <c r="H379" s="131">
        <v>1</v>
      </c>
      <c r="I379" s="132">
        <v>343220</v>
      </c>
      <c r="J379" s="132">
        <f t="shared" si="90"/>
        <v>343220</v>
      </c>
      <c r="K379" s="129" t="s">
        <v>1</v>
      </c>
      <c r="L379" s="27"/>
      <c r="M379" s="133" t="s">
        <v>1</v>
      </c>
      <c r="N379" s="134" t="s">
        <v>39</v>
      </c>
      <c r="O379" s="135">
        <v>0</v>
      </c>
      <c r="P379" s="135">
        <f t="shared" si="91"/>
        <v>0</v>
      </c>
      <c r="Q379" s="135">
        <v>0</v>
      </c>
      <c r="R379" s="135">
        <f t="shared" si="92"/>
        <v>0</v>
      </c>
      <c r="S379" s="135">
        <v>0</v>
      </c>
      <c r="T379" s="136">
        <f t="shared" si="93"/>
        <v>0</v>
      </c>
      <c r="AR379" s="137" t="s">
        <v>206</v>
      </c>
      <c r="AT379" s="137" t="s">
        <v>144</v>
      </c>
      <c r="AU379" s="137" t="s">
        <v>143</v>
      </c>
      <c r="AY379" s="15" t="s">
        <v>141</v>
      </c>
      <c r="BE379" s="138">
        <f t="shared" si="94"/>
        <v>0</v>
      </c>
      <c r="BF379" s="138">
        <f t="shared" si="95"/>
        <v>343220</v>
      </c>
      <c r="BG379" s="138">
        <f t="shared" si="96"/>
        <v>0</v>
      </c>
      <c r="BH379" s="138">
        <f t="shared" si="97"/>
        <v>0</v>
      </c>
      <c r="BI379" s="138">
        <f t="shared" si="98"/>
        <v>0</v>
      </c>
      <c r="BJ379" s="15" t="s">
        <v>143</v>
      </c>
      <c r="BK379" s="138">
        <f t="shared" si="99"/>
        <v>343220</v>
      </c>
      <c r="BL379" s="15" t="s">
        <v>206</v>
      </c>
      <c r="BM379" s="137" t="s">
        <v>929</v>
      </c>
    </row>
    <row r="380" spans="2:65" s="12" customFormat="1">
      <c r="B380" s="148"/>
      <c r="D380" s="149" t="s">
        <v>363</v>
      </c>
      <c r="E380" s="154" t="s">
        <v>1</v>
      </c>
      <c r="F380" s="150" t="s">
        <v>930</v>
      </c>
      <c r="H380" s="151">
        <v>1</v>
      </c>
      <c r="L380" s="148"/>
      <c r="M380" s="152"/>
      <c r="T380" s="153"/>
      <c r="AT380" s="154" t="s">
        <v>363</v>
      </c>
      <c r="AU380" s="154" t="s">
        <v>143</v>
      </c>
      <c r="AV380" s="12" t="s">
        <v>143</v>
      </c>
      <c r="AW380" s="12" t="s">
        <v>29</v>
      </c>
      <c r="AX380" s="12" t="s">
        <v>81</v>
      </c>
      <c r="AY380" s="154" t="s">
        <v>141</v>
      </c>
    </row>
    <row r="381" spans="2:65" s="1" customFormat="1" ht="24.2" customHeight="1">
      <c r="B381" s="126"/>
      <c r="C381" s="127" t="s">
        <v>931</v>
      </c>
      <c r="D381" s="127" t="s">
        <v>144</v>
      </c>
      <c r="E381" s="128" t="s">
        <v>932</v>
      </c>
      <c r="F381" s="129" t="s">
        <v>933</v>
      </c>
      <c r="G381" s="130" t="s">
        <v>450</v>
      </c>
      <c r="H381" s="131">
        <v>2</v>
      </c>
      <c r="I381" s="132">
        <v>24800</v>
      </c>
      <c r="J381" s="132">
        <f>ROUND(I381*H381,2)</f>
        <v>49600</v>
      </c>
      <c r="K381" s="129" t="s">
        <v>1</v>
      </c>
      <c r="L381" s="27"/>
      <c r="M381" s="133" t="s">
        <v>1</v>
      </c>
      <c r="N381" s="134" t="s">
        <v>39</v>
      </c>
      <c r="O381" s="135">
        <v>0</v>
      </c>
      <c r="P381" s="135">
        <f>O381*H381</f>
        <v>0</v>
      </c>
      <c r="Q381" s="135">
        <v>0</v>
      </c>
      <c r="R381" s="135">
        <f>Q381*H381</f>
        <v>0</v>
      </c>
      <c r="S381" s="135">
        <v>0</v>
      </c>
      <c r="T381" s="136">
        <f>S381*H381</f>
        <v>0</v>
      </c>
      <c r="AR381" s="137" t="s">
        <v>206</v>
      </c>
      <c r="AT381" s="137" t="s">
        <v>144</v>
      </c>
      <c r="AU381" s="137" t="s">
        <v>143</v>
      </c>
      <c r="AY381" s="15" t="s">
        <v>141</v>
      </c>
      <c r="BE381" s="138">
        <f>IF(N381="základní",J381,0)</f>
        <v>0</v>
      </c>
      <c r="BF381" s="138">
        <f>IF(N381="snížená",J381,0)</f>
        <v>49600</v>
      </c>
      <c r="BG381" s="138">
        <f>IF(N381="zákl. přenesená",J381,0)</f>
        <v>0</v>
      </c>
      <c r="BH381" s="138">
        <f>IF(N381="sníž. přenesená",J381,0)</f>
        <v>0</v>
      </c>
      <c r="BI381" s="138">
        <f>IF(N381="nulová",J381,0)</f>
        <v>0</v>
      </c>
      <c r="BJ381" s="15" t="s">
        <v>143</v>
      </c>
      <c r="BK381" s="138">
        <f>ROUND(I381*H381,2)</f>
        <v>49600</v>
      </c>
      <c r="BL381" s="15" t="s">
        <v>206</v>
      </c>
      <c r="BM381" s="137" t="s">
        <v>934</v>
      </c>
    </row>
    <row r="382" spans="2:65" s="1" customFormat="1" ht="24.2" customHeight="1">
      <c r="B382" s="126"/>
      <c r="C382" s="127" t="s">
        <v>935</v>
      </c>
      <c r="D382" s="127" t="s">
        <v>144</v>
      </c>
      <c r="E382" s="128" t="s">
        <v>936</v>
      </c>
      <c r="F382" s="129" t="s">
        <v>937</v>
      </c>
      <c r="G382" s="130" t="s">
        <v>565</v>
      </c>
      <c r="H382" s="131">
        <v>12379.12</v>
      </c>
      <c r="I382" s="132">
        <v>1.08</v>
      </c>
      <c r="J382" s="132">
        <f>ROUND(I382*H382,2)</f>
        <v>13369.45</v>
      </c>
      <c r="K382" s="129" t="s">
        <v>148</v>
      </c>
      <c r="L382" s="27"/>
      <c r="M382" s="133" t="s">
        <v>1</v>
      </c>
      <c r="N382" s="134" t="s">
        <v>39</v>
      </c>
      <c r="O382" s="135">
        <v>0</v>
      </c>
      <c r="P382" s="135">
        <f>O382*H382</f>
        <v>0</v>
      </c>
      <c r="Q382" s="135">
        <v>0</v>
      </c>
      <c r="R382" s="135">
        <f>Q382*H382</f>
        <v>0</v>
      </c>
      <c r="S382" s="135">
        <v>0</v>
      </c>
      <c r="T382" s="136">
        <f>S382*H382</f>
        <v>0</v>
      </c>
      <c r="AR382" s="137" t="s">
        <v>206</v>
      </c>
      <c r="AT382" s="137" t="s">
        <v>144</v>
      </c>
      <c r="AU382" s="137" t="s">
        <v>143</v>
      </c>
      <c r="AY382" s="15" t="s">
        <v>141</v>
      </c>
      <c r="BE382" s="138">
        <f>IF(N382="základní",J382,0)</f>
        <v>0</v>
      </c>
      <c r="BF382" s="138">
        <f>IF(N382="snížená",J382,0)</f>
        <v>13369.45</v>
      </c>
      <c r="BG382" s="138">
        <f>IF(N382="zákl. přenesená",J382,0)</f>
        <v>0</v>
      </c>
      <c r="BH382" s="138">
        <f>IF(N382="sníž. přenesená",J382,0)</f>
        <v>0</v>
      </c>
      <c r="BI382" s="138">
        <f>IF(N382="nulová",J382,0)</f>
        <v>0</v>
      </c>
      <c r="BJ382" s="15" t="s">
        <v>143</v>
      </c>
      <c r="BK382" s="138">
        <f>ROUND(I382*H382,2)</f>
        <v>13369.45</v>
      </c>
      <c r="BL382" s="15" t="s">
        <v>206</v>
      </c>
      <c r="BM382" s="137" t="s">
        <v>938</v>
      </c>
    </row>
    <row r="383" spans="2:65" s="11" customFormat="1" ht="22.9" customHeight="1">
      <c r="B383" s="115"/>
      <c r="D383" s="116" t="s">
        <v>72</v>
      </c>
      <c r="E383" s="124" t="s">
        <v>939</v>
      </c>
      <c r="F383" s="124" t="s">
        <v>940</v>
      </c>
      <c r="J383" s="125">
        <f>BK383</f>
        <v>6035493.040000001</v>
      </c>
      <c r="L383" s="115"/>
      <c r="M383" s="119"/>
      <c r="P383" s="120">
        <f>SUM(P384:P402)</f>
        <v>0</v>
      </c>
      <c r="R383" s="120">
        <f>SUM(R384:R402)</f>
        <v>0</v>
      </c>
      <c r="T383" s="121">
        <f>SUM(T384:T402)</f>
        <v>0</v>
      </c>
      <c r="AR383" s="116" t="s">
        <v>143</v>
      </c>
      <c r="AT383" s="122" t="s">
        <v>72</v>
      </c>
      <c r="AU383" s="122" t="s">
        <v>81</v>
      </c>
      <c r="AY383" s="116" t="s">
        <v>141</v>
      </c>
      <c r="BK383" s="123">
        <f>SUM(BK384:BK402)</f>
        <v>6035493.040000001</v>
      </c>
    </row>
    <row r="384" spans="2:65" s="1" customFormat="1" ht="33" customHeight="1">
      <c r="B384" s="126"/>
      <c r="C384" s="127" t="s">
        <v>941</v>
      </c>
      <c r="D384" s="127" t="s">
        <v>144</v>
      </c>
      <c r="E384" s="128" t="s">
        <v>942</v>
      </c>
      <c r="F384" s="129" t="s">
        <v>943</v>
      </c>
      <c r="G384" s="130" t="s">
        <v>157</v>
      </c>
      <c r="H384" s="131">
        <v>166.94900000000001</v>
      </c>
      <c r="I384" s="132">
        <v>14600</v>
      </c>
      <c r="J384" s="132">
        <f t="shared" ref="J384:J394" si="100">ROUND(I384*H384,2)</f>
        <v>2437455.4</v>
      </c>
      <c r="K384" s="129" t="s">
        <v>1</v>
      </c>
      <c r="L384" s="27"/>
      <c r="M384" s="133" t="s">
        <v>1</v>
      </c>
      <c r="N384" s="134" t="s">
        <v>39</v>
      </c>
      <c r="O384" s="135">
        <v>0</v>
      </c>
      <c r="P384" s="135">
        <f t="shared" ref="P384:P394" si="101">O384*H384</f>
        <v>0</v>
      </c>
      <c r="Q384" s="135">
        <v>0</v>
      </c>
      <c r="R384" s="135">
        <f t="shared" ref="R384:R394" si="102">Q384*H384</f>
        <v>0</v>
      </c>
      <c r="S384" s="135">
        <v>0</v>
      </c>
      <c r="T384" s="136">
        <f t="shared" ref="T384:T394" si="103">S384*H384</f>
        <v>0</v>
      </c>
      <c r="AR384" s="137" t="s">
        <v>206</v>
      </c>
      <c r="AT384" s="137" t="s">
        <v>144</v>
      </c>
      <c r="AU384" s="137" t="s">
        <v>143</v>
      </c>
      <c r="AY384" s="15" t="s">
        <v>141</v>
      </c>
      <c r="BE384" s="138">
        <f t="shared" ref="BE384:BE394" si="104">IF(N384="základní",J384,0)</f>
        <v>0</v>
      </c>
      <c r="BF384" s="138">
        <f t="shared" ref="BF384:BF394" si="105">IF(N384="snížená",J384,0)</f>
        <v>2437455.4</v>
      </c>
      <c r="BG384" s="138">
        <f t="shared" ref="BG384:BG394" si="106">IF(N384="zákl. přenesená",J384,0)</f>
        <v>0</v>
      </c>
      <c r="BH384" s="138">
        <f t="shared" ref="BH384:BH394" si="107">IF(N384="sníž. přenesená",J384,0)</f>
        <v>0</v>
      </c>
      <c r="BI384" s="138">
        <f t="shared" ref="BI384:BI394" si="108">IF(N384="nulová",J384,0)</f>
        <v>0</v>
      </c>
      <c r="BJ384" s="15" t="s">
        <v>143</v>
      </c>
      <c r="BK384" s="138">
        <f t="shared" ref="BK384:BK394" si="109">ROUND(I384*H384,2)</f>
        <v>2437455.4</v>
      </c>
      <c r="BL384" s="15" t="s">
        <v>206</v>
      </c>
      <c r="BM384" s="137" t="s">
        <v>944</v>
      </c>
    </row>
    <row r="385" spans="2:65" s="1" customFormat="1" ht="21.75" customHeight="1">
      <c r="B385" s="126"/>
      <c r="C385" s="127" t="s">
        <v>945</v>
      </c>
      <c r="D385" s="127" t="s">
        <v>144</v>
      </c>
      <c r="E385" s="128" t="s">
        <v>946</v>
      </c>
      <c r="F385" s="129" t="s">
        <v>947</v>
      </c>
      <c r="G385" s="130" t="s">
        <v>157</v>
      </c>
      <c r="H385" s="131">
        <v>39.753999999999998</v>
      </c>
      <c r="I385" s="132">
        <v>16200</v>
      </c>
      <c r="J385" s="132">
        <f t="shared" si="100"/>
        <v>644014.80000000005</v>
      </c>
      <c r="K385" s="129" t="s">
        <v>1</v>
      </c>
      <c r="L385" s="27"/>
      <c r="M385" s="133" t="s">
        <v>1</v>
      </c>
      <c r="N385" s="134" t="s">
        <v>39</v>
      </c>
      <c r="O385" s="135">
        <v>0</v>
      </c>
      <c r="P385" s="135">
        <f t="shared" si="101"/>
        <v>0</v>
      </c>
      <c r="Q385" s="135">
        <v>0</v>
      </c>
      <c r="R385" s="135">
        <f t="shared" si="102"/>
        <v>0</v>
      </c>
      <c r="S385" s="135">
        <v>0</v>
      </c>
      <c r="T385" s="136">
        <f t="shared" si="103"/>
        <v>0</v>
      </c>
      <c r="AR385" s="137" t="s">
        <v>206</v>
      </c>
      <c r="AT385" s="137" t="s">
        <v>144</v>
      </c>
      <c r="AU385" s="137" t="s">
        <v>143</v>
      </c>
      <c r="AY385" s="15" t="s">
        <v>141</v>
      </c>
      <c r="BE385" s="138">
        <f t="shared" si="104"/>
        <v>0</v>
      </c>
      <c r="BF385" s="138">
        <f t="shared" si="105"/>
        <v>644014.80000000005</v>
      </c>
      <c r="BG385" s="138">
        <f t="shared" si="106"/>
        <v>0</v>
      </c>
      <c r="BH385" s="138">
        <f t="shared" si="107"/>
        <v>0</v>
      </c>
      <c r="BI385" s="138">
        <f t="shared" si="108"/>
        <v>0</v>
      </c>
      <c r="BJ385" s="15" t="s">
        <v>143</v>
      </c>
      <c r="BK385" s="138">
        <f t="shared" si="109"/>
        <v>644014.80000000005</v>
      </c>
      <c r="BL385" s="15" t="s">
        <v>206</v>
      </c>
      <c r="BM385" s="137" t="s">
        <v>948</v>
      </c>
    </row>
    <row r="386" spans="2:65" s="1" customFormat="1" ht="16.5" customHeight="1">
      <c r="B386" s="126"/>
      <c r="C386" s="127" t="s">
        <v>949</v>
      </c>
      <c r="D386" s="127" t="s">
        <v>144</v>
      </c>
      <c r="E386" s="128" t="s">
        <v>950</v>
      </c>
      <c r="F386" s="129" t="s">
        <v>951</v>
      </c>
      <c r="G386" s="130" t="s">
        <v>450</v>
      </c>
      <c r="H386" s="131">
        <v>1</v>
      </c>
      <c r="I386" s="132">
        <v>96000</v>
      </c>
      <c r="J386" s="132">
        <f t="shared" si="100"/>
        <v>96000</v>
      </c>
      <c r="K386" s="129" t="s">
        <v>1</v>
      </c>
      <c r="L386" s="27"/>
      <c r="M386" s="133" t="s">
        <v>1</v>
      </c>
      <c r="N386" s="134" t="s">
        <v>39</v>
      </c>
      <c r="O386" s="135">
        <v>0</v>
      </c>
      <c r="P386" s="135">
        <f t="shared" si="101"/>
        <v>0</v>
      </c>
      <c r="Q386" s="135">
        <v>0</v>
      </c>
      <c r="R386" s="135">
        <f t="shared" si="102"/>
        <v>0</v>
      </c>
      <c r="S386" s="135">
        <v>0</v>
      </c>
      <c r="T386" s="136">
        <f t="shared" si="103"/>
        <v>0</v>
      </c>
      <c r="AR386" s="137" t="s">
        <v>206</v>
      </c>
      <c r="AT386" s="137" t="s">
        <v>144</v>
      </c>
      <c r="AU386" s="137" t="s">
        <v>143</v>
      </c>
      <c r="AY386" s="15" t="s">
        <v>141</v>
      </c>
      <c r="BE386" s="138">
        <f t="shared" si="104"/>
        <v>0</v>
      </c>
      <c r="BF386" s="138">
        <f t="shared" si="105"/>
        <v>96000</v>
      </c>
      <c r="BG386" s="138">
        <f t="shared" si="106"/>
        <v>0</v>
      </c>
      <c r="BH386" s="138">
        <f t="shared" si="107"/>
        <v>0</v>
      </c>
      <c r="BI386" s="138">
        <f t="shared" si="108"/>
        <v>0</v>
      </c>
      <c r="BJ386" s="15" t="s">
        <v>143</v>
      </c>
      <c r="BK386" s="138">
        <f t="shared" si="109"/>
        <v>96000</v>
      </c>
      <c r="BL386" s="15" t="s">
        <v>206</v>
      </c>
      <c r="BM386" s="137" t="s">
        <v>952</v>
      </c>
    </row>
    <row r="387" spans="2:65" s="1" customFormat="1" ht="16.5" customHeight="1">
      <c r="B387" s="126"/>
      <c r="C387" s="127" t="s">
        <v>953</v>
      </c>
      <c r="D387" s="127" t="s">
        <v>144</v>
      </c>
      <c r="E387" s="128" t="s">
        <v>954</v>
      </c>
      <c r="F387" s="129" t="s">
        <v>955</v>
      </c>
      <c r="G387" s="130" t="s">
        <v>157</v>
      </c>
      <c r="H387" s="131">
        <v>77.602000000000004</v>
      </c>
      <c r="I387" s="132">
        <v>4300</v>
      </c>
      <c r="J387" s="132">
        <f t="shared" si="100"/>
        <v>333688.59999999998</v>
      </c>
      <c r="K387" s="129" t="s">
        <v>1</v>
      </c>
      <c r="L387" s="27"/>
      <c r="M387" s="133" t="s">
        <v>1</v>
      </c>
      <c r="N387" s="134" t="s">
        <v>39</v>
      </c>
      <c r="O387" s="135">
        <v>0</v>
      </c>
      <c r="P387" s="135">
        <f t="shared" si="101"/>
        <v>0</v>
      </c>
      <c r="Q387" s="135">
        <v>0</v>
      </c>
      <c r="R387" s="135">
        <f t="shared" si="102"/>
        <v>0</v>
      </c>
      <c r="S387" s="135">
        <v>0</v>
      </c>
      <c r="T387" s="136">
        <f t="shared" si="103"/>
        <v>0</v>
      </c>
      <c r="AR387" s="137" t="s">
        <v>206</v>
      </c>
      <c r="AT387" s="137" t="s">
        <v>144</v>
      </c>
      <c r="AU387" s="137" t="s">
        <v>143</v>
      </c>
      <c r="AY387" s="15" t="s">
        <v>141</v>
      </c>
      <c r="BE387" s="138">
        <f t="shared" si="104"/>
        <v>0</v>
      </c>
      <c r="BF387" s="138">
        <f t="shared" si="105"/>
        <v>333688.59999999998</v>
      </c>
      <c r="BG387" s="138">
        <f t="shared" si="106"/>
        <v>0</v>
      </c>
      <c r="BH387" s="138">
        <f t="shared" si="107"/>
        <v>0</v>
      </c>
      <c r="BI387" s="138">
        <f t="shared" si="108"/>
        <v>0</v>
      </c>
      <c r="BJ387" s="15" t="s">
        <v>143</v>
      </c>
      <c r="BK387" s="138">
        <f t="shared" si="109"/>
        <v>333688.59999999998</v>
      </c>
      <c r="BL387" s="15" t="s">
        <v>206</v>
      </c>
      <c r="BM387" s="137" t="s">
        <v>956</v>
      </c>
    </row>
    <row r="388" spans="2:65" s="1" customFormat="1" ht="16.5" customHeight="1">
      <c r="B388" s="126"/>
      <c r="C388" s="127" t="s">
        <v>957</v>
      </c>
      <c r="D388" s="127" t="s">
        <v>144</v>
      </c>
      <c r="E388" s="128" t="s">
        <v>958</v>
      </c>
      <c r="F388" s="129" t="s">
        <v>959</v>
      </c>
      <c r="G388" s="130" t="s">
        <v>429</v>
      </c>
      <c r="H388" s="131">
        <v>1</v>
      </c>
      <c r="I388" s="132">
        <v>1150000</v>
      </c>
      <c r="J388" s="132">
        <f t="shared" si="100"/>
        <v>1150000</v>
      </c>
      <c r="K388" s="129" t="s">
        <v>1</v>
      </c>
      <c r="L388" s="27"/>
      <c r="M388" s="133" t="s">
        <v>1</v>
      </c>
      <c r="N388" s="134" t="s">
        <v>39</v>
      </c>
      <c r="O388" s="135">
        <v>0</v>
      </c>
      <c r="P388" s="135">
        <f t="shared" si="101"/>
        <v>0</v>
      </c>
      <c r="Q388" s="135">
        <v>0</v>
      </c>
      <c r="R388" s="135">
        <f t="shared" si="102"/>
        <v>0</v>
      </c>
      <c r="S388" s="135">
        <v>0</v>
      </c>
      <c r="T388" s="136">
        <f t="shared" si="103"/>
        <v>0</v>
      </c>
      <c r="AR388" s="137" t="s">
        <v>206</v>
      </c>
      <c r="AT388" s="137" t="s">
        <v>144</v>
      </c>
      <c r="AU388" s="137" t="s">
        <v>143</v>
      </c>
      <c r="AY388" s="15" t="s">
        <v>141</v>
      </c>
      <c r="BE388" s="138">
        <f t="shared" si="104"/>
        <v>0</v>
      </c>
      <c r="BF388" s="138">
        <f t="shared" si="105"/>
        <v>1150000</v>
      </c>
      <c r="BG388" s="138">
        <f t="shared" si="106"/>
        <v>0</v>
      </c>
      <c r="BH388" s="138">
        <f t="shared" si="107"/>
        <v>0</v>
      </c>
      <c r="BI388" s="138">
        <f t="shared" si="108"/>
        <v>0</v>
      </c>
      <c r="BJ388" s="15" t="s">
        <v>143</v>
      </c>
      <c r="BK388" s="138">
        <f t="shared" si="109"/>
        <v>1150000</v>
      </c>
      <c r="BL388" s="15" t="s">
        <v>206</v>
      </c>
      <c r="BM388" s="137" t="s">
        <v>960</v>
      </c>
    </row>
    <row r="389" spans="2:65" s="1" customFormat="1" ht="16.5" customHeight="1">
      <c r="B389" s="126"/>
      <c r="C389" s="127" t="s">
        <v>961</v>
      </c>
      <c r="D389" s="127" t="s">
        <v>144</v>
      </c>
      <c r="E389" s="128" t="s">
        <v>962</v>
      </c>
      <c r="F389" s="129" t="s">
        <v>963</v>
      </c>
      <c r="G389" s="130" t="s">
        <v>964</v>
      </c>
      <c r="H389" s="131">
        <v>753.63599999999997</v>
      </c>
      <c r="I389" s="132">
        <v>86</v>
      </c>
      <c r="J389" s="132">
        <f t="shared" si="100"/>
        <v>64812.7</v>
      </c>
      <c r="K389" s="129" t="s">
        <v>1</v>
      </c>
      <c r="L389" s="27"/>
      <c r="M389" s="133" t="s">
        <v>1</v>
      </c>
      <c r="N389" s="134" t="s">
        <v>39</v>
      </c>
      <c r="O389" s="135">
        <v>0</v>
      </c>
      <c r="P389" s="135">
        <f t="shared" si="101"/>
        <v>0</v>
      </c>
      <c r="Q389" s="135">
        <v>0</v>
      </c>
      <c r="R389" s="135">
        <f t="shared" si="102"/>
        <v>0</v>
      </c>
      <c r="S389" s="135">
        <v>0</v>
      </c>
      <c r="T389" s="136">
        <f t="shared" si="103"/>
        <v>0</v>
      </c>
      <c r="AR389" s="137" t="s">
        <v>206</v>
      </c>
      <c r="AT389" s="137" t="s">
        <v>144</v>
      </c>
      <c r="AU389" s="137" t="s">
        <v>143</v>
      </c>
      <c r="AY389" s="15" t="s">
        <v>141</v>
      </c>
      <c r="BE389" s="138">
        <f t="shared" si="104"/>
        <v>0</v>
      </c>
      <c r="BF389" s="138">
        <f t="shared" si="105"/>
        <v>64812.7</v>
      </c>
      <c r="BG389" s="138">
        <f t="shared" si="106"/>
        <v>0</v>
      </c>
      <c r="BH389" s="138">
        <f t="shared" si="107"/>
        <v>0</v>
      </c>
      <c r="BI389" s="138">
        <f t="shared" si="108"/>
        <v>0</v>
      </c>
      <c r="BJ389" s="15" t="s">
        <v>143</v>
      </c>
      <c r="BK389" s="138">
        <f t="shared" si="109"/>
        <v>64812.7</v>
      </c>
      <c r="BL389" s="15" t="s">
        <v>206</v>
      </c>
      <c r="BM389" s="137" t="s">
        <v>965</v>
      </c>
    </row>
    <row r="390" spans="2:65" s="1" customFormat="1" ht="16.5" customHeight="1">
      <c r="B390" s="126"/>
      <c r="C390" s="127" t="s">
        <v>966</v>
      </c>
      <c r="D390" s="127" t="s">
        <v>144</v>
      </c>
      <c r="E390" s="128" t="s">
        <v>967</v>
      </c>
      <c r="F390" s="129" t="s">
        <v>968</v>
      </c>
      <c r="G390" s="130" t="s">
        <v>964</v>
      </c>
      <c r="H390" s="131">
        <v>12173.356</v>
      </c>
      <c r="I390" s="132">
        <v>74</v>
      </c>
      <c r="J390" s="132">
        <f t="shared" si="100"/>
        <v>900828.34</v>
      </c>
      <c r="K390" s="129" t="s">
        <v>1</v>
      </c>
      <c r="L390" s="27"/>
      <c r="M390" s="133" t="s">
        <v>1</v>
      </c>
      <c r="N390" s="134" t="s">
        <v>39</v>
      </c>
      <c r="O390" s="135">
        <v>0</v>
      </c>
      <c r="P390" s="135">
        <f t="shared" si="101"/>
        <v>0</v>
      </c>
      <c r="Q390" s="135">
        <v>0</v>
      </c>
      <c r="R390" s="135">
        <f t="shared" si="102"/>
        <v>0</v>
      </c>
      <c r="S390" s="135">
        <v>0</v>
      </c>
      <c r="T390" s="136">
        <f t="shared" si="103"/>
        <v>0</v>
      </c>
      <c r="AR390" s="137" t="s">
        <v>206</v>
      </c>
      <c r="AT390" s="137" t="s">
        <v>144</v>
      </c>
      <c r="AU390" s="137" t="s">
        <v>143</v>
      </c>
      <c r="AY390" s="15" t="s">
        <v>141</v>
      </c>
      <c r="BE390" s="138">
        <f t="shared" si="104"/>
        <v>0</v>
      </c>
      <c r="BF390" s="138">
        <f t="shared" si="105"/>
        <v>900828.34</v>
      </c>
      <c r="BG390" s="138">
        <f t="shared" si="106"/>
        <v>0</v>
      </c>
      <c r="BH390" s="138">
        <f t="shared" si="107"/>
        <v>0</v>
      </c>
      <c r="BI390" s="138">
        <f t="shared" si="108"/>
        <v>0</v>
      </c>
      <c r="BJ390" s="15" t="s">
        <v>143</v>
      </c>
      <c r="BK390" s="138">
        <f t="shared" si="109"/>
        <v>900828.34</v>
      </c>
      <c r="BL390" s="15" t="s">
        <v>206</v>
      </c>
      <c r="BM390" s="137" t="s">
        <v>969</v>
      </c>
    </row>
    <row r="391" spans="2:65" s="1" customFormat="1" ht="24.2" customHeight="1">
      <c r="B391" s="126"/>
      <c r="C391" s="127" t="s">
        <v>970</v>
      </c>
      <c r="D391" s="127" t="s">
        <v>144</v>
      </c>
      <c r="E391" s="128" t="s">
        <v>971</v>
      </c>
      <c r="F391" s="129" t="s">
        <v>972</v>
      </c>
      <c r="G391" s="130" t="s">
        <v>450</v>
      </c>
      <c r="H391" s="131">
        <v>1</v>
      </c>
      <c r="I391" s="132">
        <v>68000</v>
      </c>
      <c r="J391" s="132">
        <f t="shared" si="100"/>
        <v>68000</v>
      </c>
      <c r="K391" s="129" t="s">
        <v>1</v>
      </c>
      <c r="L391" s="27"/>
      <c r="M391" s="133" t="s">
        <v>1</v>
      </c>
      <c r="N391" s="134" t="s">
        <v>39</v>
      </c>
      <c r="O391" s="135">
        <v>0</v>
      </c>
      <c r="P391" s="135">
        <f t="shared" si="101"/>
        <v>0</v>
      </c>
      <c r="Q391" s="135">
        <v>0</v>
      </c>
      <c r="R391" s="135">
        <f t="shared" si="102"/>
        <v>0</v>
      </c>
      <c r="S391" s="135">
        <v>0</v>
      </c>
      <c r="T391" s="136">
        <f t="shared" si="103"/>
        <v>0</v>
      </c>
      <c r="AR391" s="137" t="s">
        <v>206</v>
      </c>
      <c r="AT391" s="137" t="s">
        <v>144</v>
      </c>
      <c r="AU391" s="137" t="s">
        <v>143</v>
      </c>
      <c r="AY391" s="15" t="s">
        <v>141</v>
      </c>
      <c r="BE391" s="138">
        <f t="shared" si="104"/>
        <v>0</v>
      </c>
      <c r="BF391" s="138">
        <f t="shared" si="105"/>
        <v>68000</v>
      </c>
      <c r="BG391" s="138">
        <f t="shared" si="106"/>
        <v>0</v>
      </c>
      <c r="BH391" s="138">
        <f t="shared" si="107"/>
        <v>0</v>
      </c>
      <c r="BI391" s="138">
        <f t="shared" si="108"/>
        <v>0</v>
      </c>
      <c r="BJ391" s="15" t="s">
        <v>143</v>
      </c>
      <c r="BK391" s="138">
        <f t="shared" si="109"/>
        <v>68000</v>
      </c>
      <c r="BL391" s="15" t="s">
        <v>206</v>
      </c>
      <c r="BM391" s="137" t="s">
        <v>973</v>
      </c>
    </row>
    <row r="392" spans="2:65" s="1" customFormat="1" ht="24.2" customHeight="1">
      <c r="B392" s="126"/>
      <c r="C392" s="127" t="s">
        <v>974</v>
      </c>
      <c r="D392" s="127" t="s">
        <v>144</v>
      </c>
      <c r="E392" s="128" t="s">
        <v>975</v>
      </c>
      <c r="F392" s="129" t="s">
        <v>976</v>
      </c>
      <c r="G392" s="130" t="s">
        <v>450</v>
      </c>
      <c r="H392" s="131">
        <v>1</v>
      </c>
      <c r="I392" s="132">
        <v>4800</v>
      </c>
      <c r="J392" s="132">
        <f t="shared" si="100"/>
        <v>4800</v>
      </c>
      <c r="K392" s="129" t="s">
        <v>1</v>
      </c>
      <c r="L392" s="27"/>
      <c r="M392" s="133" t="s">
        <v>1</v>
      </c>
      <c r="N392" s="134" t="s">
        <v>39</v>
      </c>
      <c r="O392" s="135">
        <v>0</v>
      </c>
      <c r="P392" s="135">
        <f t="shared" si="101"/>
        <v>0</v>
      </c>
      <c r="Q392" s="135">
        <v>0</v>
      </c>
      <c r="R392" s="135">
        <f t="shared" si="102"/>
        <v>0</v>
      </c>
      <c r="S392" s="135">
        <v>0</v>
      </c>
      <c r="T392" s="136">
        <f t="shared" si="103"/>
        <v>0</v>
      </c>
      <c r="AR392" s="137" t="s">
        <v>206</v>
      </c>
      <c r="AT392" s="137" t="s">
        <v>144</v>
      </c>
      <c r="AU392" s="137" t="s">
        <v>143</v>
      </c>
      <c r="AY392" s="15" t="s">
        <v>141</v>
      </c>
      <c r="BE392" s="138">
        <f t="shared" si="104"/>
        <v>0</v>
      </c>
      <c r="BF392" s="138">
        <f t="shared" si="105"/>
        <v>4800</v>
      </c>
      <c r="BG392" s="138">
        <f t="shared" si="106"/>
        <v>0</v>
      </c>
      <c r="BH392" s="138">
        <f t="shared" si="107"/>
        <v>0</v>
      </c>
      <c r="BI392" s="138">
        <f t="shared" si="108"/>
        <v>0</v>
      </c>
      <c r="BJ392" s="15" t="s">
        <v>143</v>
      </c>
      <c r="BK392" s="138">
        <f t="shared" si="109"/>
        <v>4800</v>
      </c>
      <c r="BL392" s="15" t="s">
        <v>206</v>
      </c>
      <c r="BM392" s="137" t="s">
        <v>977</v>
      </c>
    </row>
    <row r="393" spans="2:65" s="1" customFormat="1" ht="24.2" customHeight="1">
      <c r="B393" s="126"/>
      <c r="C393" s="127" t="s">
        <v>978</v>
      </c>
      <c r="D393" s="127" t="s">
        <v>144</v>
      </c>
      <c r="E393" s="128" t="s">
        <v>979</v>
      </c>
      <c r="F393" s="129" t="s">
        <v>980</v>
      </c>
      <c r="G393" s="130" t="s">
        <v>450</v>
      </c>
      <c r="H393" s="131">
        <v>1</v>
      </c>
      <c r="I393" s="132">
        <v>28000</v>
      </c>
      <c r="J393" s="132">
        <f t="shared" si="100"/>
        <v>28000</v>
      </c>
      <c r="K393" s="129" t="s">
        <v>1</v>
      </c>
      <c r="L393" s="27"/>
      <c r="M393" s="133" t="s">
        <v>1</v>
      </c>
      <c r="N393" s="134" t="s">
        <v>39</v>
      </c>
      <c r="O393" s="135">
        <v>0</v>
      </c>
      <c r="P393" s="135">
        <f t="shared" si="101"/>
        <v>0</v>
      </c>
      <c r="Q393" s="135">
        <v>0</v>
      </c>
      <c r="R393" s="135">
        <f t="shared" si="102"/>
        <v>0</v>
      </c>
      <c r="S393" s="135">
        <v>0</v>
      </c>
      <c r="T393" s="136">
        <f t="shared" si="103"/>
        <v>0</v>
      </c>
      <c r="AR393" s="137" t="s">
        <v>206</v>
      </c>
      <c r="AT393" s="137" t="s">
        <v>144</v>
      </c>
      <c r="AU393" s="137" t="s">
        <v>143</v>
      </c>
      <c r="AY393" s="15" t="s">
        <v>141</v>
      </c>
      <c r="BE393" s="138">
        <f t="shared" si="104"/>
        <v>0</v>
      </c>
      <c r="BF393" s="138">
        <f t="shared" si="105"/>
        <v>28000</v>
      </c>
      <c r="BG393" s="138">
        <f t="shared" si="106"/>
        <v>0</v>
      </c>
      <c r="BH393" s="138">
        <f t="shared" si="107"/>
        <v>0</v>
      </c>
      <c r="BI393" s="138">
        <f t="shared" si="108"/>
        <v>0</v>
      </c>
      <c r="BJ393" s="15" t="s">
        <v>143</v>
      </c>
      <c r="BK393" s="138">
        <f t="shared" si="109"/>
        <v>28000</v>
      </c>
      <c r="BL393" s="15" t="s">
        <v>206</v>
      </c>
      <c r="BM393" s="137" t="s">
        <v>981</v>
      </c>
    </row>
    <row r="394" spans="2:65" s="1" customFormat="1" ht="24.2" customHeight="1">
      <c r="B394" s="126"/>
      <c r="C394" s="127" t="s">
        <v>982</v>
      </c>
      <c r="D394" s="127" t="s">
        <v>144</v>
      </c>
      <c r="E394" s="128" t="s">
        <v>983</v>
      </c>
      <c r="F394" s="129" t="s">
        <v>984</v>
      </c>
      <c r="G394" s="130" t="s">
        <v>450</v>
      </c>
      <c r="H394" s="131">
        <v>1</v>
      </c>
      <c r="I394" s="132">
        <v>8400</v>
      </c>
      <c r="J394" s="132">
        <f t="shared" si="100"/>
        <v>8400</v>
      </c>
      <c r="K394" s="129" t="s">
        <v>1</v>
      </c>
      <c r="L394" s="27"/>
      <c r="M394" s="133" t="s">
        <v>1</v>
      </c>
      <c r="N394" s="134" t="s">
        <v>39</v>
      </c>
      <c r="O394" s="135">
        <v>0</v>
      </c>
      <c r="P394" s="135">
        <f t="shared" si="101"/>
        <v>0</v>
      </c>
      <c r="Q394" s="135">
        <v>0</v>
      </c>
      <c r="R394" s="135">
        <f t="shared" si="102"/>
        <v>0</v>
      </c>
      <c r="S394" s="135">
        <v>0</v>
      </c>
      <c r="T394" s="136">
        <f t="shared" si="103"/>
        <v>0</v>
      </c>
      <c r="AR394" s="137" t="s">
        <v>206</v>
      </c>
      <c r="AT394" s="137" t="s">
        <v>144</v>
      </c>
      <c r="AU394" s="137" t="s">
        <v>143</v>
      </c>
      <c r="AY394" s="15" t="s">
        <v>141</v>
      </c>
      <c r="BE394" s="138">
        <f t="shared" si="104"/>
        <v>0</v>
      </c>
      <c r="BF394" s="138">
        <f t="shared" si="105"/>
        <v>8400</v>
      </c>
      <c r="BG394" s="138">
        <f t="shared" si="106"/>
        <v>0</v>
      </c>
      <c r="BH394" s="138">
        <f t="shared" si="107"/>
        <v>0</v>
      </c>
      <c r="BI394" s="138">
        <f t="shared" si="108"/>
        <v>0</v>
      </c>
      <c r="BJ394" s="15" t="s">
        <v>143</v>
      </c>
      <c r="BK394" s="138">
        <f t="shared" si="109"/>
        <v>8400</v>
      </c>
      <c r="BL394" s="15" t="s">
        <v>206</v>
      </c>
      <c r="BM394" s="137" t="s">
        <v>985</v>
      </c>
    </row>
    <row r="395" spans="2:65" s="12" customFormat="1">
      <c r="B395" s="148"/>
      <c r="D395" s="149" t="s">
        <v>363</v>
      </c>
      <c r="E395" s="154" t="s">
        <v>1</v>
      </c>
      <c r="F395" s="150" t="s">
        <v>986</v>
      </c>
      <c r="H395" s="151">
        <v>1</v>
      </c>
      <c r="L395" s="148"/>
      <c r="M395" s="152"/>
      <c r="T395" s="153"/>
      <c r="AT395" s="154" t="s">
        <v>363</v>
      </c>
      <c r="AU395" s="154" t="s">
        <v>143</v>
      </c>
      <c r="AV395" s="12" t="s">
        <v>143</v>
      </c>
      <c r="AW395" s="12" t="s">
        <v>29</v>
      </c>
      <c r="AX395" s="12" t="s">
        <v>81</v>
      </c>
      <c r="AY395" s="154" t="s">
        <v>141</v>
      </c>
    </row>
    <row r="396" spans="2:65" s="1" customFormat="1" ht="21.75" customHeight="1">
      <c r="B396" s="126"/>
      <c r="C396" s="127" t="s">
        <v>987</v>
      </c>
      <c r="D396" s="127" t="s">
        <v>144</v>
      </c>
      <c r="E396" s="128" t="s">
        <v>988</v>
      </c>
      <c r="F396" s="129" t="s">
        <v>989</v>
      </c>
      <c r="G396" s="130" t="s">
        <v>450</v>
      </c>
      <c r="H396" s="131">
        <v>1</v>
      </c>
      <c r="I396" s="132">
        <v>11800</v>
      </c>
      <c r="J396" s="132">
        <f>ROUND(I396*H396,2)</f>
        <v>11800</v>
      </c>
      <c r="K396" s="129" t="s">
        <v>1</v>
      </c>
      <c r="L396" s="27"/>
      <c r="M396" s="133" t="s">
        <v>1</v>
      </c>
      <c r="N396" s="134" t="s">
        <v>39</v>
      </c>
      <c r="O396" s="135">
        <v>0</v>
      </c>
      <c r="P396" s="135">
        <f>O396*H396</f>
        <v>0</v>
      </c>
      <c r="Q396" s="135">
        <v>0</v>
      </c>
      <c r="R396" s="135">
        <f>Q396*H396</f>
        <v>0</v>
      </c>
      <c r="S396" s="135">
        <v>0</v>
      </c>
      <c r="T396" s="136">
        <f>S396*H396</f>
        <v>0</v>
      </c>
      <c r="AR396" s="137" t="s">
        <v>206</v>
      </c>
      <c r="AT396" s="137" t="s">
        <v>144</v>
      </c>
      <c r="AU396" s="137" t="s">
        <v>143</v>
      </c>
      <c r="AY396" s="15" t="s">
        <v>141</v>
      </c>
      <c r="BE396" s="138">
        <f>IF(N396="základní",J396,0)</f>
        <v>0</v>
      </c>
      <c r="BF396" s="138">
        <f>IF(N396="snížená",J396,0)</f>
        <v>11800</v>
      </c>
      <c r="BG396" s="138">
        <f>IF(N396="zákl. přenesená",J396,0)</f>
        <v>0</v>
      </c>
      <c r="BH396" s="138">
        <f>IF(N396="sníž. přenesená",J396,0)</f>
        <v>0</v>
      </c>
      <c r="BI396" s="138">
        <f>IF(N396="nulová",J396,0)</f>
        <v>0</v>
      </c>
      <c r="BJ396" s="15" t="s">
        <v>143</v>
      </c>
      <c r="BK396" s="138">
        <f>ROUND(I396*H396,2)</f>
        <v>11800</v>
      </c>
      <c r="BL396" s="15" t="s">
        <v>206</v>
      </c>
      <c r="BM396" s="137" t="s">
        <v>990</v>
      </c>
    </row>
    <row r="397" spans="2:65" s="1" customFormat="1" ht="24.2" customHeight="1">
      <c r="B397" s="126"/>
      <c r="C397" s="127" t="s">
        <v>991</v>
      </c>
      <c r="D397" s="127" t="s">
        <v>144</v>
      </c>
      <c r="E397" s="128" t="s">
        <v>992</v>
      </c>
      <c r="F397" s="129" t="s">
        <v>993</v>
      </c>
      <c r="G397" s="130" t="s">
        <v>157</v>
      </c>
      <c r="H397" s="131">
        <v>13.567</v>
      </c>
      <c r="I397" s="132">
        <v>2900</v>
      </c>
      <c r="J397" s="132">
        <f>ROUND(I397*H397,2)</f>
        <v>39344.300000000003</v>
      </c>
      <c r="K397" s="129" t="s">
        <v>1</v>
      </c>
      <c r="L397" s="27"/>
      <c r="M397" s="133" t="s">
        <v>1</v>
      </c>
      <c r="N397" s="134" t="s">
        <v>39</v>
      </c>
      <c r="O397" s="135">
        <v>0</v>
      </c>
      <c r="P397" s="135">
        <f>O397*H397</f>
        <v>0</v>
      </c>
      <c r="Q397" s="135">
        <v>0</v>
      </c>
      <c r="R397" s="135">
        <f>Q397*H397</f>
        <v>0</v>
      </c>
      <c r="S397" s="135">
        <v>0</v>
      </c>
      <c r="T397" s="136">
        <f>S397*H397</f>
        <v>0</v>
      </c>
      <c r="AR397" s="137" t="s">
        <v>206</v>
      </c>
      <c r="AT397" s="137" t="s">
        <v>144</v>
      </c>
      <c r="AU397" s="137" t="s">
        <v>143</v>
      </c>
      <c r="AY397" s="15" t="s">
        <v>141</v>
      </c>
      <c r="BE397" s="138">
        <f>IF(N397="základní",J397,0)</f>
        <v>0</v>
      </c>
      <c r="BF397" s="138">
        <f>IF(N397="snížená",J397,0)</f>
        <v>39344.300000000003</v>
      </c>
      <c r="BG397" s="138">
        <f>IF(N397="zákl. přenesená",J397,0)</f>
        <v>0</v>
      </c>
      <c r="BH397" s="138">
        <f>IF(N397="sníž. přenesená",J397,0)</f>
        <v>0</v>
      </c>
      <c r="BI397" s="138">
        <f>IF(N397="nulová",J397,0)</f>
        <v>0</v>
      </c>
      <c r="BJ397" s="15" t="s">
        <v>143</v>
      </c>
      <c r="BK397" s="138">
        <f>ROUND(I397*H397,2)</f>
        <v>39344.300000000003</v>
      </c>
      <c r="BL397" s="15" t="s">
        <v>206</v>
      </c>
      <c r="BM397" s="137" t="s">
        <v>994</v>
      </c>
    </row>
    <row r="398" spans="2:65" s="1" customFormat="1" ht="24.2" customHeight="1">
      <c r="B398" s="126"/>
      <c r="C398" s="127" t="s">
        <v>995</v>
      </c>
      <c r="D398" s="127" t="s">
        <v>144</v>
      </c>
      <c r="E398" s="128" t="s">
        <v>996</v>
      </c>
      <c r="F398" s="129" t="s">
        <v>997</v>
      </c>
      <c r="G398" s="130" t="s">
        <v>450</v>
      </c>
      <c r="H398" s="131">
        <v>1</v>
      </c>
      <c r="I398" s="132">
        <v>89600</v>
      </c>
      <c r="J398" s="132">
        <f>ROUND(I398*H398,2)</f>
        <v>89600</v>
      </c>
      <c r="K398" s="129" t="s">
        <v>1</v>
      </c>
      <c r="L398" s="27"/>
      <c r="M398" s="133" t="s">
        <v>1</v>
      </c>
      <c r="N398" s="134" t="s">
        <v>39</v>
      </c>
      <c r="O398" s="135">
        <v>0</v>
      </c>
      <c r="P398" s="135">
        <f>O398*H398</f>
        <v>0</v>
      </c>
      <c r="Q398" s="135">
        <v>0</v>
      </c>
      <c r="R398" s="135">
        <f>Q398*H398</f>
        <v>0</v>
      </c>
      <c r="S398" s="135">
        <v>0</v>
      </c>
      <c r="T398" s="136">
        <f>S398*H398</f>
        <v>0</v>
      </c>
      <c r="AR398" s="137" t="s">
        <v>206</v>
      </c>
      <c r="AT398" s="137" t="s">
        <v>144</v>
      </c>
      <c r="AU398" s="137" t="s">
        <v>143</v>
      </c>
      <c r="AY398" s="15" t="s">
        <v>141</v>
      </c>
      <c r="BE398" s="138">
        <f>IF(N398="základní",J398,0)</f>
        <v>0</v>
      </c>
      <c r="BF398" s="138">
        <f>IF(N398="snížená",J398,0)</f>
        <v>89600</v>
      </c>
      <c r="BG398" s="138">
        <f>IF(N398="zákl. přenesená",J398,0)</f>
        <v>0</v>
      </c>
      <c r="BH398" s="138">
        <f>IF(N398="sníž. přenesená",J398,0)</f>
        <v>0</v>
      </c>
      <c r="BI398" s="138">
        <f>IF(N398="nulová",J398,0)</f>
        <v>0</v>
      </c>
      <c r="BJ398" s="15" t="s">
        <v>143</v>
      </c>
      <c r="BK398" s="138">
        <f>ROUND(I398*H398,2)</f>
        <v>89600</v>
      </c>
      <c r="BL398" s="15" t="s">
        <v>206</v>
      </c>
      <c r="BM398" s="137" t="s">
        <v>998</v>
      </c>
    </row>
    <row r="399" spans="2:65" s="12" customFormat="1">
      <c r="B399" s="148"/>
      <c r="D399" s="149" t="s">
        <v>363</v>
      </c>
      <c r="E399" s="154" t="s">
        <v>1</v>
      </c>
      <c r="F399" s="150" t="s">
        <v>999</v>
      </c>
      <c r="H399" s="151">
        <v>1</v>
      </c>
      <c r="L399" s="148"/>
      <c r="M399" s="152"/>
      <c r="T399" s="153"/>
      <c r="AT399" s="154" t="s">
        <v>363</v>
      </c>
      <c r="AU399" s="154" t="s">
        <v>143</v>
      </c>
      <c r="AV399" s="12" t="s">
        <v>143</v>
      </c>
      <c r="AW399" s="12" t="s">
        <v>29</v>
      </c>
      <c r="AX399" s="12" t="s">
        <v>81</v>
      </c>
      <c r="AY399" s="154" t="s">
        <v>141</v>
      </c>
    </row>
    <row r="400" spans="2:65" s="1" customFormat="1" ht="24.2" customHeight="1">
      <c r="B400" s="126"/>
      <c r="C400" s="127" t="s">
        <v>1000</v>
      </c>
      <c r="D400" s="127" t="s">
        <v>144</v>
      </c>
      <c r="E400" s="128" t="s">
        <v>1001</v>
      </c>
      <c r="F400" s="129" t="s">
        <v>1002</v>
      </c>
      <c r="G400" s="130" t="s">
        <v>450</v>
      </c>
      <c r="H400" s="131">
        <v>2</v>
      </c>
      <c r="I400" s="132">
        <v>10800</v>
      </c>
      <c r="J400" s="132">
        <f>ROUND(I400*H400,2)</f>
        <v>21600</v>
      </c>
      <c r="K400" s="129" t="s">
        <v>1</v>
      </c>
      <c r="L400" s="27"/>
      <c r="M400" s="133" t="s">
        <v>1</v>
      </c>
      <c r="N400" s="134" t="s">
        <v>39</v>
      </c>
      <c r="O400" s="135">
        <v>0</v>
      </c>
      <c r="P400" s="135">
        <f>O400*H400</f>
        <v>0</v>
      </c>
      <c r="Q400" s="135">
        <v>0</v>
      </c>
      <c r="R400" s="135">
        <f>Q400*H400</f>
        <v>0</v>
      </c>
      <c r="S400" s="135">
        <v>0</v>
      </c>
      <c r="T400" s="136">
        <f>S400*H400</f>
        <v>0</v>
      </c>
      <c r="AR400" s="137" t="s">
        <v>206</v>
      </c>
      <c r="AT400" s="137" t="s">
        <v>144</v>
      </c>
      <c r="AU400" s="137" t="s">
        <v>143</v>
      </c>
      <c r="AY400" s="15" t="s">
        <v>141</v>
      </c>
      <c r="BE400" s="138">
        <f>IF(N400="základní",J400,0)</f>
        <v>0</v>
      </c>
      <c r="BF400" s="138">
        <f>IF(N400="snížená",J400,0)</f>
        <v>21600</v>
      </c>
      <c r="BG400" s="138">
        <f>IF(N400="zákl. přenesená",J400,0)</f>
        <v>0</v>
      </c>
      <c r="BH400" s="138">
        <f>IF(N400="sníž. přenesená",J400,0)</f>
        <v>0</v>
      </c>
      <c r="BI400" s="138">
        <f>IF(N400="nulová",J400,0)</f>
        <v>0</v>
      </c>
      <c r="BJ400" s="15" t="s">
        <v>143</v>
      </c>
      <c r="BK400" s="138">
        <f>ROUND(I400*H400,2)</f>
        <v>21600</v>
      </c>
      <c r="BL400" s="15" t="s">
        <v>206</v>
      </c>
      <c r="BM400" s="137" t="s">
        <v>1003</v>
      </c>
    </row>
    <row r="401" spans="2:65" s="1" customFormat="1" ht="37.9" customHeight="1">
      <c r="B401" s="126"/>
      <c r="C401" s="127" t="s">
        <v>1004</v>
      </c>
      <c r="D401" s="127" t="s">
        <v>144</v>
      </c>
      <c r="E401" s="128" t="s">
        <v>1005</v>
      </c>
      <c r="F401" s="129" t="s">
        <v>1006</v>
      </c>
      <c r="G401" s="130" t="s">
        <v>157</v>
      </c>
      <c r="H401" s="131">
        <v>8.3819999999999997</v>
      </c>
      <c r="I401" s="132">
        <v>3700</v>
      </c>
      <c r="J401" s="132">
        <f>ROUND(I401*H401,2)</f>
        <v>31013.4</v>
      </c>
      <c r="K401" s="129" t="s">
        <v>1</v>
      </c>
      <c r="L401" s="27"/>
      <c r="M401" s="133" t="s">
        <v>1</v>
      </c>
      <c r="N401" s="134" t="s">
        <v>39</v>
      </c>
      <c r="O401" s="135">
        <v>0</v>
      </c>
      <c r="P401" s="135">
        <f>O401*H401</f>
        <v>0</v>
      </c>
      <c r="Q401" s="135">
        <v>0</v>
      </c>
      <c r="R401" s="135">
        <f>Q401*H401</f>
        <v>0</v>
      </c>
      <c r="S401" s="135">
        <v>0</v>
      </c>
      <c r="T401" s="136">
        <f>S401*H401</f>
        <v>0</v>
      </c>
      <c r="AR401" s="137" t="s">
        <v>206</v>
      </c>
      <c r="AT401" s="137" t="s">
        <v>144</v>
      </c>
      <c r="AU401" s="137" t="s">
        <v>143</v>
      </c>
      <c r="AY401" s="15" t="s">
        <v>141</v>
      </c>
      <c r="BE401" s="138">
        <f>IF(N401="základní",J401,0)</f>
        <v>0</v>
      </c>
      <c r="BF401" s="138">
        <f>IF(N401="snížená",J401,0)</f>
        <v>31013.4</v>
      </c>
      <c r="BG401" s="138">
        <f>IF(N401="zákl. přenesená",J401,0)</f>
        <v>0</v>
      </c>
      <c r="BH401" s="138">
        <f>IF(N401="sníž. přenesená",J401,0)</f>
        <v>0</v>
      </c>
      <c r="BI401" s="138">
        <f>IF(N401="nulová",J401,0)</f>
        <v>0</v>
      </c>
      <c r="BJ401" s="15" t="s">
        <v>143</v>
      </c>
      <c r="BK401" s="138">
        <f>ROUND(I401*H401,2)</f>
        <v>31013.4</v>
      </c>
      <c r="BL401" s="15" t="s">
        <v>206</v>
      </c>
      <c r="BM401" s="137" t="s">
        <v>1007</v>
      </c>
    </row>
    <row r="402" spans="2:65" s="1" customFormat="1" ht="24.2" customHeight="1">
      <c r="B402" s="126"/>
      <c r="C402" s="127" t="s">
        <v>1008</v>
      </c>
      <c r="D402" s="127" t="s">
        <v>144</v>
      </c>
      <c r="E402" s="128" t="s">
        <v>1009</v>
      </c>
      <c r="F402" s="129" t="s">
        <v>1010</v>
      </c>
      <c r="G402" s="130" t="s">
        <v>565</v>
      </c>
      <c r="H402" s="131">
        <v>59293.574999999997</v>
      </c>
      <c r="I402" s="132">
        <v>1.79</v>
      </c>
      <c r="J402" s="132">
        <f>ROUND(I402*H402,2)</f>
        <v>106135.5</v>
      </c>
      <c r="K402" s="129" t="s">
        <v>148</v>
      </c>
      <c r="L402" s="27"/>
      <c r="M402" s="133" t="s">
        <v>1</v>
      </c>
      <c r="N402" s="134" t="s">
        <v>39</v>
      </c>
      <c r="O402" s="135">
        <v>0</v>
      </c>
      <c r="P402" s="135">
        <f>O402*H402</f>
        <v>0</v>
      </c>
      <c r="Q402" s="135">
        <v>0</v>
      </c>
      <c r="R402" s="135">
        <f>Q402*H402</f>
        <v>0</v>
      </c>
      <c r="S402" s="135">
        <v>0</v>
      </c>
      <c r="T402" s="136">
        <f>S402*H402</f>
        <v>0</v>
      </c>
      <c r="AR402" s="137" t="s">
        <v>206</v>
      </c>
      <c r="AT402" s="137" t="s">
        <v>144</v>
      </c>
      <c r="AU402" s="137" t="s">
        <v>143</v>
      </c>
      <c r="AY402" s="15" t="s">
        <v>141</v>
      </c>
      <c r="BE402" s="138">
        <f>IF(N402="základní",J402,0)</f>
        <v>0</v>
      </c>
      <c r="BF402" s="138">
        <f>IF(N402="snížená",J402,0)</f>
        <v>106135.5</v>
      </c>
      <c r="BG402" s="138">
        <f>IF(N402="zákl. přenesená",J402,0)</f>
        <v>0</v>
      </c>
      <c r="BH402" s="138">
        <f>IF(N402="sníž. přenesená",J402,0)</f>
        <v>0</v>
      </c>
      <c r="BI402" s="138">
        <f>IF(N402="nulová",J402,0)</f>
        <v>0</v>
      </c>
      <c r="BJ402" s="15" t="s">
        <v>143</v>
      </c>
      <c r="BK402" s="138">
        <f>ROUND(I402*H402,2)</f>
        <v>106135.5</v>
      </c>
      <c r="BL402" s="15" t="s">
        <v>206</v>
      </c>
      <c r="BM402" s="137" t="s">
        <v>1011</v>
      </c>
    </row>
    <row r="403" spans="2:65" s="11" customFormat="1" ht="22.9" customHeight="1">
      <c r="B403" s="115"/>
      <c r="D403" s="116" t="s">
        <v>72</v>
      </c>
      <c r="E403" s="124" t="s">
        <v>1012</v>
      </c>
      <c r="F403" s="124" t="s">
        <v>1013</v>
      </c>
      <c r="J403" s="125">
        <f>BK403</f>
        <v>29358.560000000001</v>
      </c>
      <c r="L403" s="115"/>
      <c r="M403" s="119"/>
      <c r="P403" s="120">
        <f>SUM(P404:P409)</f>
        <v>18.390347999999999</v>
      </c>
      <c r="R403" s="120">
        <f>SUM(R404:R409)</f>
        <v>0.67277670000000001</v>
      </c>
      <c r="T403" s="121">
        <f>SUM(T404:T409)</f>
        <v>0</v>
      </c>
      <c r="AR403" s="116" t="s">
        <v>143</v>
      </c>
      <c r="AT403" s="122" t="s">
        <v>72</v>
      </c>
      <c r="AU403" s="122" t="s">
        <v>81</v>
      </c>
      <c r="AY403" s="116" t="s">
        <v>141</v>
      </c>
      <c r="BK403" s="123">
        <f>SUM(BK404:BK409)</f>
        <v>29358.560000000001</v>
      </c>
    </row>
    <row r="404" spans="2:65" s="1" customFormat="1" ht="16.5" customHeight="1">
      <c r="B404" s="126"/>
      <c r="C404" s="127" t="s">
        <v>1014</v>
      </c>
      <c r="D404" s="127" t="s">
        <v>144</v>
      </c>
      <c r="E404" s="128" t="s">
        <v>1015</v>
      </c>
      <c r="F404" s="129" t="s">
        <v>1016</v>
      </c>
      <c r="G404" s="130" t="s">
        <v>157</v>
      </c>
      <c r="H404" s="131">
        <v>21.738</v>
      </c>
      <c r="I404" s="132">
        <v>56.2</v>
      </c>
      <c r="J404" s="132">
        <f>ROUND(I404*H404,2)</f>
        <v>1221.68</v>
      </c>
      <c r="K404" s="129" t="s">
        <v>148</v>
      </c>
      <c r="L404" s="27"/>
      <c r="M404" s="133" t="s">
        <v>1</v>
      </c>
      <c r="N404" s="134" t="s">
        <v>39</v>
      </c>
      <c r="O404" s="135">
        <v>4.3999999999999997E-2</v>
      </c>
      <c r="P404" s="135">
        <f>O404*H404</f>
        <v>0.95647199999999988</v>
      </c>
      <c r="Q404" s="135">
        <v>2.9999999999999997E-4</v>
      </c>
      <c r="R404" s="135">
        <f>Q404*H404</f>
        <v>6.5213999999999992E-3</v>
      </c>
      <c r="S404" s="135">
        <v>0</v>
      </c>
      <c r="T404" s="136">
        <f>S404*H404</f>
        <v>0</v>
      </c>
      <c r="AR404" s="137" t="s">
        <v>206</v>
      </c>
      <c r="AT404" s="137" t="s">
        <v>144</v>
      </c>
      <c r="AU404" s="137" t="s">
        <v>143</v>
      </c>
      <c r="AY404" s="15" t="s">
        <v>141</v>
      </c>
      <c r="BE404" s="138">
        <f>IF(N404="základní",J404,0)</f>
        <v>0</v>
      </c>
      <c r="BF404" s="138">
        <f>IF(N404="snížená",J404,0)</f>
        <v>1221.68</v>
      </c>
      <c r="BG404" s="138">
        <f>IF(N404="zákl. přenesená",J404,0)</f>
        <v>0</v>
      </c>
      <c r="BH404" s="138">
        <f>IF(N404="sníž. přenesená",J404,0)</f>
        <v>0</v>
      </c>
      <c r="BI404" s="138">
        <f>IF(N404="nulová",J404,0)</f>
        <v>0</v>
      </c>
      <c r="BJ404" s="15" t="s">
        <v>143</v>
      </c>
      <c r="BK404" s="138">
        <f>ROUND(I404*H404,2)</f>
        <v>1221.68</v>
      </c>
      <c r="BL404" s="15" t="s">
        <v>206</v>
      </c>
      <c r="BM404" s="137" t="s">
        <v>1017</v>
      </c>
    </row>
    <row r="405" spans="2:65" s="1" customFormat="1" ht="21.75" customHeight="1">
      <c r="B405" s="126"/>
      <c r="C405" s="127" t="s">
        <v>1018</v>
      </c>
      <c r="D405" s="127" t="s">
        <v>144</v>
      </c>
      <c r="E405" s="128" t="s">
        <v>1019</v>
      </c>
      <c r="F405" s="129" t="s">
        <v>1020</v>
      </c>
      <c r="G405" s="130" t="s">
        <v>157</v>
      </c>
      <c r="H405" s="131">
        <v>21.738</v>
      </c>
      <c r="I405" s="132">
        <v>198</v>
      </c>
      <c r="J405" s="132">
        <f>ROUND(I405*H405,2)</f>
        <v>4304.12</v>
      </c>
      <c r="K405" s="129" t="s">
        <v>148</v>
      </c>
      <c r="L405" s="27"/>
      <c r="M405" s="133" t="s">
        <v>1</v>
      </c>
      <c r="N405" s="134" t="s">
        <v>39</v>
      </c>
      <c r="O405" s="135">
        <v>0.192</v>
      </c>
      <c r="P405" s="135">
        <f>O405*H405</f>
        <v>4.1736959999999996</v>
      </c>
      <c r="Q405" s="135">
        <v>4.5500000000000002E-3</v>
      </c>
      <c r="R405" s="135">
        <f>Q405*H405</f>
        <v>9.8907900000000007E-2</v>
      </c>
      <c r="S405" s="135">
        <v>0</v>
      </c>
      <c r="T405" s="136">
        <f>S405*H405</f>
        <v>0</v>
      </c>
      <c r="AR405" s="137" t="s">
        <v>206</v>
      </c>
      <c r="AT405" s="137" t="s">
        <v>144</v>
      </c>
      <c r="AU405" s="137" t="s">
        <v>143</v>
      </c>
      <c r="AY405" s="15" t="s">
        <v>141</v>
      </c>
      <c r="BE405" s="138">
        <f>IF(N405="základní",J405,0)</f>
        <v>0</v>
      </c>
      <c r="BF405" s="138">
        <f>IF(N405="snížená",J405,0)</f>
        <v>4304.12</v>
      </c>
      <c r="BG405" s="138">
        <f>IF(N405="zákl. přenesená",J405,0)</f>
        <v>0</v>
      </c>
      <c r="BH405" s="138">
        <f>IF(N405="sníž. přenesená",J405,0)</f>
        <v>0</v>
      </c>
      <c r="BI405" s="138">
        <f>IF(N405="nulová",J405,0)</f>
        <v>0</v>
      </c>
      <c r="BJ405" s="15" t="s">
        <v>143</v>
      </c>
      <c r="BK405" s="138">
        <f>ROUND(I405*H405,2)</f>
        <v>4304.12</v>
      </c>
      <c r="BL405" s="15" t="s">
        <v>206</v>
      </c>
      <c r="BM405" s="137" t="s">
        <v>1021</v>
      </c>
    </row>
    <row r="406" spans="2:65" s="1" customFormat="1" ht="24.2" customHeight="1">
      <c r="B406" s="126"/>
      <c r="C406" s="127" t="s">
        <v>1022</v>
      </c>
      <c r="D406" s="127" t="s">
        <v>144</v>
      </c>
      <c r="E406" s="128" t="s">
        <v>1023</v>
      </c>
      <c r="F406" s="129" t="s">
        <v>1024</v>
      </c>
      <c r="G406" s="130" t="s">
        <v>157</v>
      </c>
      <c r="H406" s="131">
        <v>21.738</v>
      </c>
      <c r="I406" s="132">
        <v>518</v>
      </c>
      <c r="J406" s="132">
        <f>ROUND(I406*H406,2)</f>
        <v>11260.28</v>
      </c>
      <c r="K406" s="129" t="s">
        <v>148</v>
      </c>
      <c r="L406" s="27"/>
      <c r="M406" s="133" t="s">
        <v>1</v>
      </c>
      <c r="N406" s="134" t="s">
        <v>39</v>
      </c>
      <c r="O406" s="135">
        <v>0.61</v>
      </c>
      <c r="P406" s="135">
        <f>O406*H406</f>
        <v>13.26018</v>
      </c>
      <c r="Q406" s="135">
        <v>6.3E-3</v>
      </c>
      <c r="R406" s="135">
        <f>Q406*H406</f>
        <v>0.1369494</v>
      </c>
      <c r="S406" s="135">
        <v>0</v>
      </c>
      <c r="T406" s="136">
        <f>S406*H406</f>
        <v>0</v>
      </c>
      <c r="AR406" s="137" t="s">
        <v>206</v>
      </c>
      <c r="AT406" s="137" t="s">
        <v>144</v>
      </c>
      <c r="AU406" s="137" t="s">
        <v>143</v>
      </c>
      <c r="AY406" s="15" t="s">
        <v>141</v>
      </c>
      <c r="BE406" s="138">
        <f>IF(N406="základní",J406,0)</f>
        <v>0</v>
      </c>
      <c r="BF406" s="138">
        <f>IF(N406="snížená",J406,0)</f>
        <v>11260.28</v>
      </c>
      <c r="BG406" s="138">
        <f>IF(N406="zákl. přenesená",J406,0)</f>
        <v>0</v>
      </c>
      <c r="BH406" s="138">
        <f>IF(N406="sníž. přenesená",J406,0)</f>
        <v>0</v>
      </c>
      <c r="BI406" s="138">
        <f>IF(N406="nulová",J406,0)</f>
        <v>0</v>
      </c>
      <c r="BJ406" s="15" t="s">
        <v>143</v>
      </c>
      <c r="BK406" s="138">
        <f>ROUND(I406*H406,2)</f>
        <v>11260.28</v>
      </c>
      <c r="BL406" s="15" t="s">
        <v>206</v>
      </c>
      <c r="BM406" s="137" t="s">
        <v>1025</v>
      </c>
    </row>
    <row r="407" spans="2:65" s="1" customFormat="1" ht="24.2" customHeight="1">
      <c r="B407" s="126"/>
      <c r="C407" s="139" t="s">
        <v>1026</v>
      </c>
      <c r="D407" s="139" t="s">
        <v>207</v>
      </c>
      <c r="E407" s="140" t="s">
        <v>1027</v>
      </c>
      <c r="F407" s="141" t="s">
        <v>1028</v>
      </c>
      <c r="G407" s="142" t="s">
        <v>157</v>
      </c>
      <c r="H407" s="143">
        <v>23.911000000000001</v>
      </c>
      <c r="I407" s="144">
        <v>450</v>
      </c>
      <c r="J407" s="144">
        <f>ROUND(I407*H407,2)</f>
        <v>10759.95</v>
      </c>
      <c r="K407" s="141" t="s">
        <v>148</v>
      </c>
      <c r="L407" s="145"/>
      <c r="M407" s="146" t="s">
        <v>1</v>
      </c>
      <c r="N407" s="147" t="s">
        <v>39</v>
      </c>
      <c r="O407" s="135">
        <v>0</v>
      </c>
      <c r="P407" s="135">
        <f>O407*H407</f>
        <v>0</v>
      </c>
      <c r="Q407" s="135">
        <v>1.7999999999999999E-2</v>
      </c>
      <c r="R407" s="135">
        <f>Q407*H407</f>
        <v>0.430398</v>
      </c>
      <c r="S407" s="135">
        <v>0</v>
      </c>
      <c r="T407" s="136">
        <f>S407*H407</f>
        <v>0</v>
      </c>
      <c r="AR407" s="137" t="s">
        <v>274</v>
      </c>
      <c r="AT407" s="137" t="s">
        <v>207</v>
      </c>
      <c r="AU407" s="137" t="s">
        <v>143</v>
      </c>
      <c r="AY407" s="15" t="s">
        <v>141</v>
      </c>
      <c r="BE407" s="138">
        <f>IF(N407="základní",J407,0)</f>
        <v>0</v>
      </c>
      <c r="BF407" s="138">
        <f>IF(N407="snížená",J407,0)</f>
        <v>10759.95</v>
      </c>
      <c r="BG407" s="138">
        <f>IF(N407="zákl. přenesená",J407,0)</f>
        <v>0</v>
      </c>
      <c r="BH407" s="138">
        <f>IF(N407="sníž. přenesená",J407,0)</f>
        <v>0</v>
      </c>
      <c r="BI407" s="138">
        <f>IF(N407="nulová",J407,0)</f>
        <v>0</v>
      </c>
      <c r="BJ407" s="15" t="s">
        <v>143</v>
      </c>
      <c r="BK407" s="138">
        <f>ROUND(I407*H407,2)</f>
        <v>10759.95</v>
      </c>
      <c r="BL407" s="15" t="s">
        <v>206</v>
      </c>
      <c r="BM407" s="137" t="s">
        <v>1029</v>
      </c>
    </row>
    <row r="408" spans="2:65" s="12" customFormat="1">
      <c r="B408" s="148"/>
      <c r="D408" s="149" t="s">
        <v>363</v>
      </c>
      <c r="F408" s="150" t="s">
        <v>1030</v>
      </c>
      <c r="H408" s="151">
        <v>23.911000000000001</v>
      </c>
      <c r="L408" s="148"/>
      <c r="M408" s="152"/>
      <c r="T408" s="153"/>
      <c r="AT408" s="154" t="s">
        <v>363</v>
      </c>
      <c r="AU408" s="154" t="s">
        <v>143</v>
      </c>
      <c r="AV408" s="12" t="s">
        <v>143</v>
      </c>
      <c r="AW408" s="12" t="s">
        <v>3</v>
      </c>
      <c r="AX408" s="12" t="s">
        <v>81</v>
      </c>
      <c r="AY408" s="154" t="s">
        <v>141</v>
      </c>
    </row>
    <row r="409" spans="2:65" s="1" customFormat="1" ht="24.2" customHeight="1">
      <c r="B409" s="126"/>
      <c r="C409" s="127" t="s">
        <v>1031</v>
      </c>
      <c r="D409" s="127" t="s">
        <v>144</v>
      </c>
      <c r="E409" s="128" t="s">
        <v>1032</v>
      </c>
      <c r="F409" s="129" t="s">
        <v>1033</v>
      </c>
      <c r="G409" s="130" t="s">
        <v>565</v>
      </c>
      <c r="H409" s="131">
        <v>275.45999999999998</v>
      </c>
      <c r="I409" s="132">
        <v>6.58</v>
      </c>
      <c r="J409" s="132">
        <f>ROUND(I409*H409,2)</f>
        <v>1812.53</v>
      </c>
      <c r="K409" s="129" t="s">
        <v>148</v>
      </c>
      <c r="L409" s="27"/>
      <c r="M409" s="133" t="s">
        <v>1</v>
      </c>
      <c r="N409" s="134" t="s">
        <v>39</v>
      </c>
      <c r="O409" s="135">
        <v>0</v>
      </c>
      <c r="P409" s="135">
        <f>O409*H409</f>
        <v>0</v>
      </c>
      <c r="Q409" s="135">
        <v>0</v>
      </c>
      <c r="R409" s="135">
        <f>Q409*H409</f>
        <v>0</v>
      </c>
      <c r="S409" s="135">
        <v>0</v>
      </c>
      <c r="T409" s="136">
        <f>S409*H409</f>
        <v>0</v>
      </c>
      <c r="AR409" s="137" t="s">
        <v>206</v>
      </c>
      <c r="AT409" s="137" t="s">
        <v>144</v>
      </c>
      <c r="AU409" s="137" t="s">
        <v>143</v>
      </c>
      <c r="AY409" s="15" t="s">
        <v>141</v>
      </c>
      <c r="BE409" s="138">
        <f>IF(N409="základní",J409,0)</f>
        <v>0</v>
      </c>
      <c r="BF409" s="138">
        <f>IF(N409="snížená",J409,0)</f>
        <v>1812.53</v>
      </c>
      <c r="BG409" s="138">
        <f>IF(N409="zákl. přenesená",J409,0)</f>
        <v>0</v>
      </c>
      <c r="BH409" s="138">
        <f>IF(N409="sníž. přenesená",J409,0)</f>
        <v>0</v>
      </c>
      <c r="BI409" s="138">
        <f>IF(N409="nulová",J409,0)</f>
        <v>0</v>
      </c>
      <c r="BJ409" s="15" t="s">
        <v>143</v>
      </c>
      <c r="BK409" s="138">
        <f>ROUND(I409*H409,2)</f>
        <v>1812.53</v>
      </c>
      <c r="BL409" s="15" t="s">
        <v>206</v>
      </c>
      <c r="BM409" s="137" t="s">
        <v>1034</v>
      </c>
    </row>
    <row r="410" spans="2:65" s="11" customFormat="1" ht="22.9" customHeight="1">
      <c r="B410" s="115"/>
      <c r="D410" s="116" t="s">
        <v>72</v>
      </c>
      <c r="E410" s="124" t="s">
        <v>1035</v>
      </c>
      <c r="F410" s="124" t="s">
        <v>1036</v>
      </c>
      <c r="J410" s="125">
        <f>BK410</f>
        <v>1528806.65</v>
      </c>
      <c r="L410" s="115"/>
      <c r="M410" s="119"/>
      <c r="P410" s="120">
        <f>SUM(P411:P420)</f>
        <v>689.19298700000002</v>
      </c>
      <c r="R410" s="120">
        <f>SUM(R411:R420)</f>
        <v>9.3285580600000007</v>
      </c>
      <c r="T410" s="121">
        <f>SUM(T411:T420)</f>
        <v>0</v>
      </c>
      <c r="AR410" s="116" t="s">
        <v>143</v>
      </c>
      <c r="AT410" s="122" t="s">
        <v>72</v>
      </c>
      <c r="AU410" s="122" t="s">
        <v>81</v>
      </c>
      <c r="AY410" s="116" t="s">
        <v>141</v>
      </c>
      <c r="BK410" s="123">
        <f>SUM(BK411:BK420)</f>
        <v>1528806.65</v>
      </c>
    </row>
    <row r="411" spans="2:65" s="1" customFormat="1" ht="24.2" customHeight="1">
      <c r="B411" s="126"/>
      <c r="C411" s="127" t="s">
        <v>1037</v>
      </c>
      <c r="D411" s="127" t="s">
        <v>144</v>
      </c>
      <c r="E411" s="128" t="s">
        <v>1038</v>
      </c>
      <c r="F411" s="129" t="s">
        <v>1039</v>
      </c>
      <c r="G411" s="130" t="s">
        <v>157</v>
      </c>
      <c r="H411" s="131">
        <v>1226.346</v>
      </c>
      <c r="I411" s="132">
        <v>37.9</v>
      </c>
      <c r="J411" s="132">
        <f>ROUND(I411*H411,2)</f>
        <v>46478.51</v>
      </c>
      <c r="K411" s="129" t="s">
        <v>148</v>
      </c>
      <c r="L411" s="27"/>
      <c r="M411" s="133" t="s">
        <v>1</v>
      </c>
      <c r="N411" s="134" t="s">
        <v>39</v>
      </c>
      <c r="O411" s="135">
        <v>5.8000000000000003E-2</v>
      </c>
      <c r="P411" s="135">
        <f>O411*H411</f>
        <v>71.128067999999999</v>
      </c>
      <c r="Q411" s="135">
        <v>3.0000000000000001E-5</v>
      </c>
      <c r="R411" s="135">
        <f>Q411*H411</f>
        <v>3.6790380000000004E-2</v>
      </c>
      <c r="S411" s="135">
        <v>0</v>
      </c>
      <c r="T411" s="136">
        <f>S411*H411</f>
        <v>0</v>
      </c>
      <c r="AR411" s="137" t="s">
        <v>206</v>
      </c>
      <c r="AT411" s="137" t="s">
        <v>144</v>
      </c>
      <c r="AU411" s="137" t="s">
        <v>143</v>
      </c>
      <c r="AY411" s="15" t="s">
        <v>141</v>
      </c>
      <c r="BE411" s="138">
        <f>IF(N411="základní",J411,0)</f>
        <v>0</v>
      </c>
      <c r="BF411" s="138">
        <f>IF(N411="snížená",J411,0)</f>
        <v>46478.51</v>
      </c>
      <c r="BG411" s="138">
        <f>IF(N411="zákl. přenesená",J411,0)</f>
        <v>0</v>
      </c>
      <c r="BH411" s="138">
        <f>IF(N411="sníž. přenesená",J411,0)</f>
        <v>0</v>
      </c>
      <c r="BI411" s="138">
        <f>IF(N411="nulová",J411,0)</f>
        <v>0</v>
      </c>
      <c r="BJ411" s="15" t="s">
        <v>143</v>
      </c>
      <c r="BK411" s="138">
        <f>ROUND(I411*H411,2)</f>
        <v>46478.51</v>
      </c>
      <c r="BL411" s="15" t="s">
        <v>206</v>
      </c>
      <c r="BM411" s="137" t="s">
        <v>1040</v>
      </c>
    </row>
    <row r="412" spans="2:65" s="1" customFormat="1" ht="24.2" customHeight="1">
      <c r="B412" s="126"/>
      <c r="C412" s="127" t="s">
        <v>1041</v>
      </c>
      <c r="D412" s="127" t="s">
        <v>144</v>
      </c>
      <c r="E412" s="128" t="s">
        <v>1042</v>
      </c>
      <c r="F412" s="129" t="s">
        <v>1043</v>
      </c>
      <c r="G412" s="130" t="s">
        <v>157</v>
      </c>
      <c r="H412" s="131">
        <v>1226.346</v>
      </c>
      <c r="I412" s="132">
        <v>198</v>
      </c>
      <c r="J412" s="132">
        <f>ROUND(I412*H412,2)</f>
        <v>242816.51</v>
      </c>
      <c r="K412" s="129" t="s">
        <v>148</v>
      </c>
      <c r="L412" s="27"/>
      <c r="M412" s="133" t="s">
        <v>1</v>
      </c>
      <c r="N412" s="134" t="s">
        <v>39</v>
      </c>
      <c r="O412" s="135">
        <v>0.192</v>
      </c>
      <c r="P412" s="135">
        <f>O412*H412</f>
        <v>235.45843200000002</v>
      </c>
      <c r="Q412" s="135">
        <v>4.5500000000000002E-3</v>
      </c>
      <c r="R412" s="135">
        <f>Q412*H412</f>
        <v>5.5798743000000002</v>
      </c>
      <c r="S412" s="135">
        <v>0</v>
      </c>
      <c r="T412" s="136">
        <f>S412*H412</f>
        <v>0</v>
      </c>
      <c r="AR412" s="137" t="s">
        <v>206</v>
      </c>
      <c r="AT412" s="137" t="s">
        <v>144</v>
      </c>
      <c r="AU412" s="137" t="s">
        <v>143</v>
      </c>
      <c r="AY412" s="15" t="s">
        <v>141</v>
      </c>
      <c r="BE412" s="138">
        <f>IF(N412="základní",J412,0)</f>
        <v>0</v>
      </c>
      <c r="BF412" s="138">
        <f>IF(N412="snížená",J412,0)</f>
        <v>242816.51</v>
      </c>
      <c r="BG412" s="138">
        <f>IF(N412="zákl. přenesená",J412,0)</f>
        <v>0</v>
      </c>
      <c r="BH412" s="138">
        <f>IF(N412="sníž. přenesená",J412,0)</f>
        <v>0</v>
      </c>
      <c r="BI412" s="138">
        <f>IF(N412="nulová",J412,0)</f>
        <v>0</v>
      </c>
      <c r="BJ412" s="15" t="s">
        <v>143</v>
      </c>
      <c r="BK412" s="138">
        <f>ROUND(I412*H412,2)</f>
        <v>242816.51</v>
      </c>
      <c r="BL412" s="15" t="s">
        <v>206</v>
      </c>
      <c r="BM412" s="137" t="s">
        <v>1044</v>
      </c>
    </row>
    <row r="413" spans="2:65" s="1" customFormat="1" ht="24.2" customHeight="1">
      <c r="B413" s="126"/>
      <c r="C413" s="127" t="s">
        <v>1045</v>
      </c>
      <c r="D413" s="127" t="s">
        <v>144</v>
      </c>
      <c r="E413" s="128" t="s">
        <v>1046</v>
      </c>
      <c r="F413" s="129" t="s">
        <v>1047</v>
      </c>
      <c r="G413" s="130" t="s">
        <v>193</v>
      </c>
      <c r="H413" s="131">
        <v>858.44299999999998</v>
      </c>
      <c r="I413" s="132">
        <v>66.599999999999994</v>
      </c>
      <c r="J413" s="132">
        <f>ROUND(I413*H413,2)</f>
        <v>57172.3</v>
      </c>
      <c r="K413" s="129" t="s">
        <v>148</v>
      </c>
      <c r="L413" s="27"/>
      <c r="M413" s="133" t="s">
        <v>1</v>
      </c>
      <c r="N413" s="134" t="s">
        <v>39</v>
      </c>
      <c r="O413" s="135">
        <v>0.10199999999999999</v>
      </c>
      <c r="P413" s="135">
        <f>O413*H413</f>
        <v>87.561185999999992</v>
      </c>
      <c r="Q413" s="135">
        <v>2.0000000000000002E-5</v>
      </c>
      <c r="R413" s="135">
        <f>Q413*H413</f>
        <v>1.7168860000000001E-2</v>
      </c>
      <c r="S413" s="135">
        <v>0</v>
      </c>
      <c r="T413" s="136">
        <f>S413*H413</f>
        <v>0</v>
      </c>
      <c r="AR413" s="137" t="s">
        <v>206</v>
      </c>
      <c r="AT413" s="137" t="s">
        <v>144</v>
      </c>
      <c r="AU413" s="137" t="s">
        <v>143</v>
      </c>
      <c r="AY413" s="15" t="s">
        <v>141</v>
      </c>
      <c r="BE413" s="138">
        <f>IF(N413="základní",J413,0)</f>
        <v>0</v>
      </c>
      <c r="BF413" s="138">
        <f>IF(N413="snížená",J413,0)</f>
        <v>57172.3</v>
      </c>
      <c r="BG413" s="138">
        <f>IF(N413="zákl. přenesená",J413,0)</f>
        <v>0</v>
      </c>
      <c r="BH413" s="138">
        <f>IF(N413="sníž. přenesená",J413,0)</f>
        <v>0</v>
      </c>
      <c r="BI413" s="138">
        <f>IF(N413="nulová",J413,0)</f>
        <v>0</v>
      </c>
      <c r="BJ413" s="15" t="s">
        <v>143</v>
      </c>
      <c r="BK413" s="138">
        <f>ROUND(I413*H413,2)</f>
        <v>57172.3</v>
      </c>
      <c r="BL413" s="15" t="s">
        <v>206</v>
      </c>
      <c r="BM413" s="137" t="s">
        <v>1048</v>
      </c>
    </row>
    <row r="414" spans="2:65" s="1" customFormat="1" ht="21.75" customHeight="1">
      <c r="B414" s="126"/>
      <c r="C414" s="127" t="s">
        <v>1049</v>
      </c>
      <c r="D414" s="127" t="s">
        <v>144</v>
      </c>
      <c r="E414" s="128" t="s">
        <v>1050</v>
      </c>
      <c r="F414" s="129" t="s">
        <v>1051</v>
      </c>
      <c r="G414" s="130" t="s">
        <v>157</v>
      </c>
      <c r="H414" s="131">
        <v>565.399</v>
      </c>
      <c r="I414" s="132">
        <v>224</v>
      </c>
      <c r="J414" s="132">
        <f>ROUND(I414*H414,2)</f>
        <v>126649.38</v>
      </c>
      <c r="K414" s="129" t="s">
        <v>148</v>
      </c>
      <c r="L414" s="27"/>
      <c r="M414" s="133" t="s">
        <v>1</v>
      </c>
      <c r="N414" s="134" t="s">
        <v>39</v>
      </c>
      <c r="O414" s="135">
        <v>0.307</v>
      </c>
      <c r="P414" s="135">
        <f>O414*H414</f>
        <v>173.577493</v>
      </c>
      <c r="Q414" s="135">
        <v>2.9999999999999997E-4</v>
      </c>
      <c r="R414" s="135">
        <f>Q414*H414</f>
        <v>0.16961969999999998</v>
      </c>
      <c r="S414" s="135">
        <v>0</v>
      </c>
      <c r="T414" s="136">
        <f>S414*H414</f>
        <v>0</v>
      </c>
      <c r="AR414" s="137" t="s">
        <v>206</v>
      </c>
      <c r="AT414" s="137" t="s">
        <v>144</v>
      </c>
      <c r="AU414" s="137" t="s">
        <v>143</v>
      </c>
      <c r="AY414" s="15" t="s">
        <v>141</v>
      </c>
      <c r="BE414" s="138">
        <f>IF(N414="základní",J414,0)</f>
        <v>0</v>
      </c>
      <c r="BF414" s="138">
        <f>IF(N414="snížená",J414,0)</f>
        <v>126649.38</v>
      </c>
      <c r="BG414" s="138">
        <f>IF(N414="zákl. přenesená",J414,0)</f>
        <v>0</v>
      </c>
      <c r="BH414" s="138">
        <f>IF(N414="sníž. přenesená",J414,0)</f>
        <v>0</v>
      </c>
      <c r="BI414" s="138">
        <f>IF(N414="nulová",J414,0)</f>
        <v>0</v>
      </c>
      <c r="BJ414" s="15" t="s">
        <v>143</v>
      </c>
      <c r="BK414" s="138">
        <f>ROUND(I414*H414,2)</f>
        <v>126649.38</v>
      </c>
      <c r="BL414" s="15" t="s">
        <v>206</v>
      </c>
      <c r="BM414" s="137" t="s">
        <v>1052</v>
      </c>
    </row>
    <row r="415" spans="2:65" s="1" customFormat="1" ht="44.25" customHeight="1">
      <c r="B415" s="126"/>
      <c r="C415" s="139" t="s">
        <v>1053</v>
      </c>
      <c r="D415" s="139" t="s">
        <v>207</v>
      </c>
      <c r="E415" s="140" t="s">
        <v>1054</v>
      </c>
      <c r="F415" s="141" t="s">
        <v>1055</v>
      </c>
      <c r="G415" s="142" t="s">
        <v>157</v>
      </c>
      <c r="H415" s="143">
        <v>621.93899999999996</v>
      </c>
      <c r="I415" s="144">
        <v>525</v>
      </c>
      <c r="J415" s="144">
        <f>ROUND(I415*H415,2)</f>
        <v>326517.98</v>
      </c>
      <c r="K415" s="141" t="s">
        <v>148</v>
      </c>
      <c r="L415" s="145"/>
      <c r="M415" s="146" t="s">
        <v>1</v>
      </c>
      <c r="N415" s="147" t="s">
        <v>39</v>
      </c>
      <c r="O415" s="135">
        <v>0</v>
      </c>
      <c r="P415" s="135">
        <f>O415*H415</f>
        <v>0</v>
      </c>
      <c r="Q415" s="135">
        <v>3.6800000000000001E-3</v>
      </c>
      <c r="R415" s="135">
        <f>Q415*H415</f>
        <v>2.2887355199999999</v>
      </c>
      <c r="S415" s="135">
        <v>0</v>
      </c>
      <c r="T415" s="136">
        <f>S415*H415</f>
        <v>0</v>
      </c>
      <c r="AR415" s="137" t="s">
        <v>274</v>
      </c>
      <c r="AT415" s="137" t="s">
        <v>207</v>
      </c>
      <c r="AU415" s="137" t="s">
        <v>143</v>
      </c>
      <c r="AY415" s="15" t="s">
        <v>141</v>
      </c>
      <c r="BE415" s="138">
        <f>IF(N415="základní",J415,0)</f>
        <v>0</v>
      </c>
      <c r="BF415" s="138">
        <f>IF(N415="snížená",J415,0)</f>
        <v>326517.98</v>
      </c>
      <c r="BG415" s="138">
        <f>IF(N415="zákl. přenesená",J415,0)</f>
        <v>0</v>
      </c>
      <c r="BH415" s="138">
        <f>IF(N415="sníž. přenesená",J415,0)</f>
        <v>0</v>
      </c>
      <c r="BI415" s="138">
        <f>IF(N415="nulová",J415,0)</f>
        <v>0</v>
      </c>
      <c r="BJ415" s="15" t="s">
        <v>143</v>
      </c>
      <c r="BK415" s="138">
        <f>ROUND(I415*H415,2)</f>
        <v>326517.98</v>
      </c>
      <c r="BL415" s="15" t="s">
        <v>206</v>
      </c>
      <c r="BM415" s="137" t="s">
        <v>1056</v>
      </c>
    </row>
    <row r="416" spans="2:65" s="12" customFormat="1">
      <c r="B416" s="148"/>
      <c r="D416" s="149" t="s">
        <v>363</v>
      </c>
      <c r="F416" s="150" t="s">
        <v>1057</v>
      </c>
      <c r="H416" s="151">
        <v>621.93899999999996</v>
      </c>
      <c r="L416" s="148"/>
      <c r="M416" s="152"/>
      <c r="T416" s="153"/>
      <c r="AT416" s="154" t="s">
        <v>363</v>
      </c>
      <c r="AU416" s="154" t="s">
        <v>143</v>
      </c>
      <c r="AV416" s="12" t="s">
        <v>143</v>
      </c>
      <c r="AW416" s="12" t="s">
        <v>3</v>
      </c>
      <c r="AX416" s="12" t="s">
        <v>81</v>
      </c>
      <c r="AY416" s="154" t="s">
        <v>141</v>
      </c>
    </row>
    <row r="417" spans="2:65" s="1" customFormat="1" ht="21.75" customHeight="1">
      <c r="B417" s="126"/>
      <c r="C417" s="127" t="s">
        <v>1058</v>
      </c>
      <c r="D417" s="127" t="s">
        <v>144</v>
      </c>
      <c r="E417" s="128" t="s">
        <v>1059</v>
      </c>
      <c r="F417" s="129" t="s">
        <v>1060</v>
      </c>
      <c r="G417" s="130" t="s">
        <v>157</v>
      </c>
      <c r="H417" s="131">
        <v>542.26700000000005</v>
      </c>
      <c r="I417" s="132">
        <v>157</v>
      </c>
      <c r="J417" s="132">
        <f>ROUND(I417*H417,2)</f>
        <v>85135.92</v>
      </c>
      <c r="K417" s="129" t="s">
        <v>148</v>
      </c>
      <c r="L417" s="27"/>
      <c r="M417" s="133" t="s">
        <v>1</v>
      </c>
      <c r="N417" s="134" t="s">
        <v>39</v>
      </c>
      <c r="O417" s="135">
        <v>0.224</v>
      </c>
      <c r="P417" s="135">
        <f>O417*H417</f>
        <v>121.46780800000002</v>
      </c>
      <c r="Q417" s="135">
        <v>2.9999999999999997E-4</v>
      </c>
      <c r="R417" s="135">
        <f>Q417*H417</f>
        <v>0.16268009999999999</v>
      </c>
      <c r="S417" s="135">
        <v>0</v>
      </c>
      <c r="T417" s="136">
        <f>S417*H417</f>
        <v>0</v>
      </c>
      <c r="AR417" s="137" t="s">
        <v>206</v>
      </c>
      <c r="AT417" s="137" t="s">
        <v>144</v>
      </c>
      <c r="AU417" s="137" t="s">
        <v>143</v>
      </c>
      <c r="AY417" s="15" t="s">
        <v>141</v>
      </c>
      <c r="BE417" s="138">
        <f>IF(N417="základní",J417,0)</f>
        <v>0</v>
      </c>
      <c r="BF417" s="138">
        <f>IF(N417="snížená",J417,0)</f>
        <v>85135.92</v>
      </c>
      <c r="BG417" s="138">
        <f>IF(N417="zákl. přenesená",J417,0)</f>
        <v>0</v>
      </c>
      <c r="BH417" s="138">
        <f>IF(N417="sníž. přenesená",J417,0)</f>
        <v>0</v>
      </c>
      <c r="BI417" s="138">
        <f>IF(N417="nulová",J417,0)</f>
        <v>0</v>
      </c>
      <c r="BJ417" s="15" t="s">
        <v>143</v>
      </c>
      <c r="BK417" s="138">
        <f>ROUND(I417*H417,2)</f>
        <v>85135.92</v>
      </c>
      <c r="BL417" s="15" t="s">
        <v>206</v>
      </c>
      <c r="BM417" s="137" t="s">
        <v>1061</v>
      </c>
    </row>
    <row r="418" spans="2:65" s="1" customFormat="1" ht="37.9" customHeight="1">
      <c r="B418" s="126"/>
      <c r="C418" s="139" t="s">
        <v>1062</v>
      </c>
      <c r="D418" s="139" t="s">
        <v>207</v>
      </c>
      <c r="E418" s="140" t="s">
        <v>1063</v>
      </c>
      <c r="F418" s="141" t="s">
        <v>1064</v>
      </c>
      <c r="G418" s="142" t="s">
        <v>157</v>
      </c>
      <c r="H418" s="143">
        <v>596.49400000000003</v>
      </c>
      <c r="I418" s="144">
        <v>1070</v>
      </c>
      <c r="J418" s="144">
        <f>ROUND(I418*H418,2)</f>
        <v>638248.57999999996</v>
      </c>
      <c r="K418" s="141" t="s">
        <v>148</v>
      </c>
      <c r="L418" s="145"/>
      <c r="M418" s="146" t="s">
        <v>1</v>
      </c>
      <c r="N418" s="147" t="s">
        <v>39</v>
      </c>
      <c r="O418" s="135">
        <v>0</v>
      </c>
      <c r="P418" s="135">
        <f>O418*H418</f>
        <v>0</v>
      </c>
      <c r="Q418" s="135">
        <v>1.8E-3</v>
      </c>
      <c r="R418" s="135">
        <f>Q418*H418</f>
        <v>1.0736892</v>
      </c>
      <c r="S418" s="135">
        <v>0</v>
      </c>
      <c r="T418" s="136">
        <f>S418*H418</f>
        <v>0</v>
      </c>
      <c r="AR418" s="137" t="s">
        <v>274</v>
      </c>
      <c r="AT418" s="137" t="s">
        <v>207</v>
      </c>
      <c r="AU418" s="137" t="s">
        <v>143</v>
      </c>
      <c r="AY418" s="15" t="s">
        <v>141</v>
      </c>
      <c r="BE418" s="138">
        <f>IF(N418="základní",J418,0)</f>
        <v>0</v>
      </c>
      <c r="BF418" s="138">
        <f>IF(N418="snížená",J418,0)</f>
        <v>638248.57999999996</v>
      </c>
      <c r="BG418" s="138">
        <f>IF(N418="zákl. přenesená",J418,0)</f>
        <v>0</v>
      </c>
      <c r="BH418" s="138">
        <f>IF(N418="sníž. přenesená",J418,0)</f>
        <v>0</v>
      </c>
      <c r="BI418" s="138">
        <f>IF(N418="nulová",J418,0)</f>
        <v>0</v>
      </c>
      <c r="BJ418" s="15" t="s">
        <v>143</v>
      </c>
      <c r="BK418" s="138">
        <f>ROUND(I418*H418,2)</f>
        <v>638248.57999999996</v>
      </c>
      <c r="BL418" s="15" t="s">
        <v>206</v>
      </c>
      <c r="BM418" s="137" t="s">
        <v>1065</v>
      </c>
    </row>
    <row r="419" spans="2:65" s="12" customFormat="1">
      <c r="B419" s="148"/>
      <c r="D419" s="149" t="s">
        <v>363</v>
      </c>
      <c r="F419" s="150" t="s">
        <v>1066</v>
      </c>
      <c r="H419" s="151">
        <v>596.49400000000003</v>
      </c>
      <c r="L419" s="148"/>
      <c r="M419" s="152"/>
      <c r="T419" s="153"/>
      <c r="AT419" s="154" t="s">
        <v>363</v>
      </c>
      <c r="AU419" s="154" t="s">
        <v>143</v>
      </c>
      <c r="AV419" s="12" t="s">
        <v>143</v>
      </c>
      <c r="AW419" s="12" t="s">
        <v>3</v>
      </c>
      <c r="AX419" s="12" t="s">
        <v>81</v>
      </c>
      <c r="AY419" s="154" t="s">
        <v>141</v>
      </c>
    </row>
    <row r="420" spans="2:65" s="1" customFormat="1" ht="24.2" customHeight="1">
      <c r="B420" s="126"/>
      <c r="C420" s="127" t="s">
        <v>1067</v>
      </c>
      <c r="D420" s="127" t="s">
        <v>144</v>
      </c>
      <c r="E420" s="128" t="s">
        <v>1068</v>
      </c>
      <c r="F420" s="129" t="s">
        <v>1069</v>
      </c>
      <c r="G420" s="130" t="s">
        <v>565</v>
      </c>
      <c r="H420" s="131">
        <v>15230.191999999999</v>
      </c>
      <c r="I420" s="132">
        <v>0.38</v>
      </c>
      <c r="J420" s="132">
        <f>ROUND(I420*H420,2)</f>
        <v>5787.47</v>
      </c>
      <c r="K420" s="129" t="s">
        <v>148</v>
      </c>
      <c r="L420" s="27"/>
      <c r="M420" s="133" t="s">
        <v>1</v>
      </c>
      <c r="N420" s="134" t="s">
        <v>39</v>
      </c>
      <c r="O420" s="135">
        <v>0</v>
      </c>
      <c r="P420" s="135">
        <f>O420*H420</f>
        <v>0</v>
      </c>
      <c r="Q420" s="135">
        <v>0</v>
      </c>
      <c r="R420" s="135">
        <f>Q420*H420</f>
        <v>0</v>
      </c>
      <c r="S420" s="135">
        <v>0</v>
      </c>
      <c r="T420" s="136">
        <f>S420*H420</f>
        <v>0</v>
      </c>
      <c r="AR420" s="137" t="s">
        <v>206</v>
      </c>
      <c r="AT420" s="137" t="s">
        <v>144</v>
      </c>
      <c r="AU420" s="137" t="s">
        <v>143</v>
      </c>
      <c r="AY420" s="15" t="s">
        <v>141</v>
      </c>
      <c r="BE420" s="138">
        <f>IF(N420="základní",J420,0)</f>
        <v>0</v>
      </c>
      <c r="BF420" s="138">
        <f>IF(N420="snížená",J420,0)</f>
        <v>5787.47</v>
      </c>
      <c r="BG420" s="138">
        <f>IF(N420="zákl. přenesená",J420,0)</f>
        <v>0</v>
      </c>
      <c r="BH420" s="138">
        <f>IF(N420="sníž. přenesená",J420,0)</f>
        <v>0</v>
      </c>
      <c r="BI420" s="138">
        <f>IF(N420="nulová",J420,0)</f>
        <v>0</v>
      </c>
      <c r="BJ420" s="15" t="s">
        <v>143</v>
      </c>
      <c r="BK420" s="138">
        <f>ROUND(I420*H420,2)</f>
        <v>5787.47</v>
      </c>
      <c r="BL420" s="15" t="s">
        <v>206</v>
      </c>
      <c r="BM420" s="137" t="s">
        <v>1070</v>
      </c>
    </row>
    <row r="421" spans="2:65" s="11" customFormat="1" ht="22.9" customHeight="1">
      <c r="B421" s="115"/>
      <c r="D421" s="116" t="s">
        <v>72</v>
      </c>
      <c r="E421" s="124" t="s">
        <v>1071</v>
      </c>
      <c r="F421" s="124" t="s">
        <v>1072</v>
      </c>
      <c r="J421" s="125">
        <f>BK421</f>
        <v>430086.04</v>
      </c>
      <c r="L421" s="115"/>
      <c r="M421" s="119"/>
      <c r="P421" s="120">
        <f>SUM(P422:P427)</f>
        <v>282.325288</v>
      </c>
      <c r="R421" s="120">
        <f>SUM(R422:R427)</f>
        <v>7.1491208000000004</v>
      </c>
      <c r="T421" s="121">
        <f>SUM(T422:T427)</f>
        <v>0</v>
      </c>
      <c r="AR421" s="116" t="s">
        <v>143</v>
      </c>
      <c r="AT421" s="122" t="s">
        <v>72</v>
      </c>
      <c r="AU421" s="122" t="s">
        <v>81</v>
      </c>
      <c r="AY421" s="116" t="s">
        <v>141</v>
      </c>
      <c r="BK421" s="123">
        <f>SUM(BK422:BK427)</f>
        <v>430086.04</v>
      </c>
    </row>
    <row r="422" spans="2:65" s="1" customFormat="1" ht="16.5" customHeight="1">
      <c r="B422" s="126"/>
      <c r="C422" s="127" t="s">
        <v>1073</v>
      </c>
      <c r="D422" s="127" t="s">
        <v>144</v>
      </c>
      <c r="E422" s="128" t="s">
        <v>1074</v>
      </c>
      <c r="F422" s="129" t="s">
        <v>1075</v>
      </c>
      <c r="G422" s="130" t="s">
        <v>157</v>
      </c>
      <c r="H422" s="131">
        <v>365.70800000000003</v>
      </c>
      <c r="I422" s="132">
        <v>56.2</v>
      </c>
      <c r="J422" s="132">
        <f>ROUND(I422*H422,2)</f>
        <v>20552.79</v>
      </c>
      <c r="K422" s="129" t="s">
        <v>148</v>
      </c>
      <c r="L422" s="27"/>
      <c r="M422" s="133" t="s">
        <v>1</v>
      </c>
      <c r="N422" s="134" t="s">
        <v>39</v>
      </c>
      <c r="O422" s="135">
        <v>4.3999999999999997E-2</v>
      </c>
      <c r="P422" s="135">
        <f>O422*H422</f>
        <v>16.091152000000001</v>
      </c>
      <c r="Q422" s="135">
        <v>2.9999999999999997E-4</v>
      </c>
      <c r="R422" s="135">
        <f>Q422*H422</f>
        <v>0.1097124</v>
      </c>
      <c r="S422" s="135">
        <v>0</v>
      </c>
      <c r="T422" s="136">
        <f>S422*H422</f>
        <v>0</v>
      </c>
      <c r="AR422" s="137" t="s">
        <v>206</v>
      </c>
      <c r="AT422" s="137" t="s">
        <v>144</v>
      </c>
      <c r="AU422" s="137" t="s">
        <v>143</v>
      </c>
      <c r="AY422" s="15" t="s">
        <v>141</v>
      </c>
      <c r="BE422" s="138">
        <f>IF(N422="základní",J422,0)</f>
        <v>0</v>
      </c>
      <c r="BF422" s="138">
        <f>IF(N422="snížená",J422,0)</f>
        <v>20552.79</v>
      </c>
      <c r="BG422" s="138">
        <f>IF(N422="zákl. přenesená",J422,0)</f>
        <v>0</v>
      </c>
      <c r="BH422" s="138">
        <f>IF(N422="sníž. přenesená",J422,0)</f>
        <v>0</v>
      </c>
      <c r="BI422" s="138">
        <f>IF(N422="nulová",J422,0)</f>
        <v>0</v>
      </c>
      <c r="BJ422" s="15" t="s">
        <v>143</v>
      </c>
      <c r="BK422" s="138">
        <f>ROUND(I422*H422,2)</f>
        <v>20552.79</v>
      </c>
      <c r="BL422" s="15" t="s">
        <v>206</v>
      </c>
      <c r="BM422" s="137" t="s">
        <v>1076</v>
      </c>
    </row>
    <row r="423" spans="2:65" s="1" customFormat="1" ht="24.2" customHeight="1">
      <c r="B423" s="126"/>
      <c r="C423" s="127" t="s">
        <v>1077</v>
      </c>
      <c r="D423" s="127" t="s">
        <v>144</v>
      </c>
      <c r="E423" s="128" t="s">
        <v>1078</v>
      </c>
      <c r="F423" s="129" t="s">
        <v>1079</v>
      </c>
      <c r="G423" s="130" t="s">
        <v>157</v>
      </c>
      <c r="H423" s="131">
        <v>365.70800000000003</v>
      </c>
      <c r="I423" s="132">
        <v>587</v>
      </c>
      <c r="J423" s="132">
        <f>ROUND(I423*H423,2)</f>
        <v>214670.6</v>
      </c>
      <c r="K423" s="129" t="s">
        <v>148</v>
      </c>
      <c r="L423" s="27"/>
      <c r="M423" s="133" t="s">
        <v>1</v>
      </c>
      <c r="N423" s="134" t="s">
        <v>39</v>
      </c>
      <c r="O423" s="135">
        <v>0.64200000000000002</v>
      </c>
      <c r="P423" s="135">
        <f>O423*H423</f>
        <v>234.78453600000003</v>
      </c>
      <c r="Q423" s="135">
        <v>6.0000000000000001E-3</v>
      </c>
      <c r="R423" s="135">
        <f>Q423*H423</f>
        <v>2.1942480000000004</v>
      </c>
      <c r="S423" s="135">
        <v>0</v>
      </c>
      <c r="T423" s="136">
        <f>S423*H423</f>
        <v>0</v>
      </c>
      <c r="AR423" s="137" t="s">
        <v>206</v>
      </c>
      <c r="AT423" s="137" t="s">
        <v>144</v>
      </c>
      <c r="AU423" s="137" t="s">
        <v>143</v>
      </c>
      <c r="AY423" s="15" t="s">
        <v>141</v>
      </c>
      <c r="BE423" s="138">
        <f>IF(N423="základní",J423,0)</f>
        <v>0</v>
      </c>
      <c r="BF423" s="138">
        <f>IF(N423="snížená",J423,0)</f>
        <v>214670.6</v>
      </c>
      <c r="BG423" s="138">
        <f>IF(N423="zákl. přenesená",J423,0)</f>
        <v>0</v>
      </c>
      <c r="BH423" s="138">
        <f>IF(N423="sníž. přenesená",J423,0)</f>
        <v>0</v>
      </c>
      <c r="BI423" s="138">
        <f>IF(N423="nulová",J423,0)</f>
        <v>0</v>
      </c>
      <c r="BJ423" s="15" t="s">
        <v>143</v>
      </c>
      <c r="BK423" s="138">
        <f>ROUND(I423*H423,2)</f>
        <v>214670.6</v>
      </c>
      <c r="BL423" s="15" t="s">
        <v>206</v>
      </c>
      <c r="BM423" s="137" t="s">
        <v>1080</v>
      </c>
    </row>
    <row r="424" spans="2:65" s="1" customFormat="1" ht="16.5" customHeight="1">
      <c r="B424" s="126"/>
      <c r="C424" s="139" t="s">
        <v>1081</v>
      </c>
      <c r="D424" s="139" t="s">
        <v>207</v>
      </c>
      <c r="E424" s="140" t="s">
        <v>1082</v>
      </c>
      <c r="F424" s="141" t="s">
        <v>1083</v>
      </c>
      <c r="G424" s="142" t="s">
        <v>157</v>
      </c>
      <c r="H424" s="143">
        <v>402.27800000000002</v>
      </c>
      <c r="I424" s="144">
        <v>387</v>
      </c>
      <c r="J424" s="144">
        <f>ROUND(I424*H424,2)</f>
        <v>155681.59</v>
      </c>
      <c r="K424" s="141" t="s">
        <v>148</v>
      </c>
      <c r="L424" s="145"/>
      <c r="M424" s="146" t="s">
        <v>1</v>
      </c>
      <c r="N424" s="147" t="s">
        <v>39</v>
      </c>
      <c r="O424" s="135">
        <v>0</v>
      </c>
      <c r="P424" s="135">
        <f>O424*H424</f>
        <v>0</v>
      </c>
      <c r="Q424" s="135">
        <v>1.18E-2</v>
      </c>
      <c r="R424" s="135">
        <f>Q424*H424</f>
        <v>4.7468804000000002</v>
      </c>
      <c r="S424" s="135">
        <v>0</v>
      </c>
      <c r="T424" s="136">
        <f>S424*H424</f>
        <v>0</v>
      </c>
      <c r="AR424" s="137" t="s">
        <v>274</v>
      </c>
      <c r="AT424" s="137" t="s">
        <v>207</v>
      </c>
      <c r="AU424" s="137" t="s">
        <v>143</v>
      </c>
      <c r="AY424" s="15" t="s">
        <v>141</v>
      </c>
      <c r="BE424" s="138">
        <f>IF(N424="základní",J424,0)</f>
        <v>0</v>
      </c>
      <c r="BF424" s="138">
        <f>IF(N424="snížená",J424,0)</f>
        <v>155681.59</v>
      </c>
      <c r="BG424" s="138">
        <f>IF(N424="zákl. přenesená",J424,0)</f>
        <v>0</v>
      </c>
      <c r="BH424" s="138">
        <f>IF(N424="sníž. přenesená",J424,0)</f>
        <v>0</v>
      </c>
      <c r="BI424" s="138">
        <f>IF(N424="nulová",J424,0)</f>
        <v>0</v>
      </c>
      <c r="BJ424" s="15" t="s">
        <v>143</v>
      </c>
      <c r="BK424" s="138">
        <f>ROUND(I424*H424,2)</f>
        <v>155681.59</v>
      </c>
      <c r="BL424" s="15" t="s">
        <v>206</v>
      </c>
      <c r="BM424" s="137" t="s">
        <v>1084</v>
      </c>
    </row>
    <row r="425" spans="2:65" s="12" customFormat="1">
      <c r="B425" s="148"/>
      <c r="D425" s="149" t="s">
        <v>363</v>
      </c>
      <c r="F425" s="150" t="s">
        <v>1085</v>
      </c>
      <c r="H425" s="151">
        <v>402.27800000000002</v>
      </c>
      <c r="L425" s="148"/>
      <c r="M425" s="152"/>
      <c r="T425" s="153"/>
      <c r="AT425" s="154" t="s">
        <v>363</v>
      </c>
      <c r="AU425" s="154" t="s">
        <v>143</v>
      </c>
      <c r="AV425" s="12" t="s">
        <v>143</v>
      </c>
      <c r="AW425" s="12" t="s">
        <v>3</v>
      </c>
      <c r="AX425" s="12" t="s">
        <v>81</v>
      </c>
      <c r="AY425" s="154" t="s">
        <v>141</v>
      </c>
    </row>
    <row r="426" spans="2:65" s="1" customFormat="1" ht="21.75" customHeight="1">
      <c r="B426" s="126"/>
      <c r="C426" s="127" t="s">
        <v>1086</v>
      </c>
      <c r="D426" s="127" t="s">
        <v>144</v>
      </c>
      <c r="E426" s="128" t="s">
        <v>1087</v>
      </c>
      <c r="F426" s="129" t="s">
        <v>1088</v>
      </c>
      <c r="G426" s="130" t="s">
        <v>193</v>
      </c>
      <c r="H426" s="131">
        <v>196.56</v>
      </c>
      <c r="I426" s="132">
        <v>128</v>
      </c>
      <c r="J426" s="132">
        <f>ROUND(I426*H426,2)</f>
        <v>25159.68</v>
      </c>
      <c r="K426" s="129" t="s">
        <v>148</v>
      </c>
      <c r="L426" s="27"/>
      <c r="M426" s="133" t="s">
        <v>1</v>
      </c>
      <c r="N426" s="134" t="s">
        <v>39</v>
      </c>
      <c r="O426" s="135">
        <v>0.16</v>
      </c>
      <c r="P426" s="135">
        <f>O426*H426</f>
        <v>31.4496</v>
      </c>
      <c r="Q426" s="135">
        <v>5.0000000000000001E-4</v>
      </c>
      <c r="R426" s="135">
        <f>Q426*H426</f>
        <v>9.8280000000000006E-2</v>
      </c>
      <c r="S426" s="135">
        <v>0</v>
      </c>
      <c r="T426" s="136">
        <f>S426*H426</f>
        <v>0</v>
      </c>
      <c r="AR426" s="137" t="s">
        <v>206</v>
      </c>
      <c r="AT426" s="137" t="s">
        <v>144</v>
      </c>
      <c r="AU426" s="137" t="s">
        <v>143</v>
      </c>
      <c r="AY426" s="15" t="s">
        <v>141</v>
      </c>
      <c r="BE426" s="138">
        <f>IF(N426="základní",J426,0)</f>
        <v>0</v>
      </c>
      <c r="BF426" s="138">
        <f>IF(N426="snížená",J426,0)</f>
        <v>25159.68</v>
      </c>
      <c r="BG426" s="138">
        <f>IF(N426="zákl. přenesená",J426,0)</f>
        <v>0</v>
      </c>
      <c r="BH426" s="138">
        <f>IF(N426="sníž. přenesená",J426,0)</f>
        <v>0</v>
      </c>
      <c r="BI426" s="138">
        <f>IF(N426="nulová",J426,0)</f>
        <v>0</v>
      </c>
      <c r="BJ426" s="15" t="s">
        <v>143</v>
      </c>
      <c r="BK426" s="138">
        <f>ROUND(I426*H426,2)</f>
        <v>25159.68</v>
      </c>
      <c r="BL426" s="15" t="s">
        <v>206</v>
      </c>
      <c r="BM426" s="137" t="s">
        <v>1089</v>
      </c>
    </row>
    <row r="427" spans="2:65" s="1" customFormat="1" ht="24.2" customHeight="1">
      <c r="B427" s="126"/>
      <c r="C427" s="127" t="s">
        <v>1090</v>
      </c>
      <c r="D427" s="127" t="s">
        <v>144</v>
      </c>
      <c r="E427" s="128" t="s">
        <v>1091</v>
      </c>
      <c r="F427" s="129" t="s">
        <v>1092</v>
      </c>
      <c r="G427" s="130" t="s">
        <v>565</v>
      </c>
      <c r="H427" s="131">
        <v>4160.6469999999999</v>
      </c>
      <c r="I427" s="132">
        <v>3.37</v>
      </c>
      <c r="J427" s="132">
        <f>ROUND(I427*H427,2)</f>
        <v>14021.38</v>
      </c>
      <c r="K427" s="129" t="s">
        <v>148</v>
      </c>
      <c r="L427" s="27"/>
      <c r="M427" s="133" t="s">
        <v>1</v>
      </c>
      <c r="N427" s="134" t="s">
        <v>39</v>
      </c>
      <c r="O427" s="135">
        <v>0</v>
      </c>
      <c r="P427" s="135">
        <f>O427*H427</f>
        <v>0</v>
      </c>
      <c r="Q427" s="135">
        <v>0</v>
      </c>
      <c r="R427" s="135">
        <f>Q427*H427</f>
        <v>0</v>
      </c>
      <c r="S427" s="135">
        <v>0</v>
      </c>
      <c r="T427" s="136">
        <f>S427*H427</f>
        <v>0</v>
      </c>
      <c r="AR427" s="137" t="s">
        <v>206</v>
      </c>
      <c r="AT427" s="137" t="s">
        <v>144</v>
      </c>
      <c r="AU427" s="137" t="s">
        <v>143</v>
      </c>
      <c r="AY427" s="15" t="s">
        <v>141</v>
      </c>
      <c r="BE427" s="138">
        <f>IF(N427="základní",J427,0)</f>
        <v>0</v>
      </c>
      <c r="BF427" s="138">
        <f>IF(N427="snížená",J427,0)</f>
        <v>14021.38</v>
      </c>
      <c r="BG427" s="138">
        <f>IF(N427="zákl. přenesená",J427,0)</f>
        <v>0</v>
      </c>
      <c r="BH427" s="138">
        <f>IF(N427="sníž. přenesená",J427,0)</f>
        <v>0</v>
      </c>
      <c r="BI427" s="138">
        <f>IF(N427="nulová",J427,0)</f>
        <v>0</v>
      </c>
      <c r="BJ427" s="15" t="s">
        <v>143</v>
      </c>
      <c r="BK427" s="138">
        <f>ROUND(I427*H427,2)</f>
        <v>14021.38</v>
      </c>
      <c r="BL427" s="15" t="s">
        <v>206</v>
      </c>
      <c r="BM427" s="137" t="s">
        <v>1093</v>
      </c>
    </row>
    <row r="428" spans="2:65" s="11" customFormat="1" ht="22.9" customHeight="1">
      <c r="B428" s="115"/>
      <c r="D428" s="116" t="s">
        <v>72</v>
      </c>
      <c r="E428" s="124" t="s">
        <v>1094</v>
      </c>
      <c r="F428" s="124" t="s">
        <v>1095</v>
      </c>
      <c r="J428" s="125">
        <f>BK428</f>
        <v>511508.07999999996</v>
      </c>
      <c r="L428" s="115"/>
      <c r="M428" s="119"/>
      <c r="P428" s="120">
        <f>SUM(P429:P430)</f>
        <v>788.74664600000006</v>
      </c>
      <c r="R428" s="120">
        <f>SUM(R429:R430)</f>
        <v>2.8253611199999997</v>
      </c>
      <c r="T428" s="121">
        <f>SUM(T429:T430)</f>
        <v>0</v>
      </c>
      <c r="AR428" s="116" t="s">
        <v>143</v>
      </c>
      <c r="AT428" s="122" t="s">
        <v>72</v>
      </c>
      <c r="AU428" s="122" t="s">
        <v>81</v>
      </c>
      <c r="AY428" s="116" t="s">
        <v>141</v>
      </c>
      <c r="BK428" s="123">
        <f>SUM(BK429:BK430)</f>
        <v>511508.07999999996</v>
      </c>
    </row>
    <row r="429" spans="2:65" s="1" customFormat="1" ht="33" customHeight="1">
      <c r="B429" s="126"/>
      <c r="C429" s="127" t="s">
        <v>1096</v>
      </c>
      <c r="D429" s="127" t="s">
        <v>144</v>
      </c>
      <c r="E429" s="128" t="s">
        <v>1097</v>
      </c>
      <c r="F429" s="129" t="s">
        <v>1098</v>
      </c>
      <c r="G429" s="130" t="s">
        <v>157</v>
      </c>
      <c r="H429" s="131">
        <v>5886.1689999999999</v>
      </c>
      <c r="I429" s="132">
        <v>18</v>
      </c>
      <c r="J429" s="132">
        <f>ROUND(I429*H429,2)</f>
        <v>105951.03999999999</v>
      </c>
      <c r="K429" s="129" t="s">
        <v>148</v>
      </c>
      <c r="L429" s="27"/>
      <c r="M429" s="133" t="s">
        <v>1</v>
      </c>
      <c r="N429" s="134" t="s">
        <v>39</v>
      </c>
      <c r="O429" s="135">
        <v>3.3000000000000002E-2</v>
      </c>
      <c r="P429" s="135">
        <f>O429*H429</f>
        <v>194.24357700000002</v>
      </c>
      <c r="Q429" s="135">
        <v>2.0000000000000001E-4</v>
      </c>
      <c r="R429" s="135">
        <f>Q429*H429</f>
        <v>1.1772338</v>
      </c>
      <c r="S429" s="135">
        <v>0</v>
      </c>
      <c r="T429" s="136">
        <f>S429*H429</f>
        <v>0</v>
      </c>
      <c r="AR429" s="137" t="s">
        <v>206</v>
      </c>
      <c r="AT429" s="137" t="s">
        <v>144</v>
      </c>
      <c r="AU429" s="137" t="s">
        <v>143</v>
      </c>
      <c r="AY429" s="15" t="s">
        <v>141</v>
      </c>
      <c r="BE429" s="138">
        <f>IF(N429="základní",J429,0)</f>
        <v>0</v>
      </c>
      <c r="BF429" s="138">
        <f>IF(N429="snížená",J429,0)</f>
        <v>105951.03999999999</v>
      </c>
      <c r="BG429" s="138">
        <f>IF(N429="zákl. přenesená",J429,0)</f>
        <v>0</v>
      </c>
      <c r="BH429" s="138">
        <f>IF(N429="sníž. přenesená",J429,0)</f>
        <v>0</v>
      </c>
      <c r="BI429" s="138">
        <f>IF(N429="nulová",J429,0)</f>
        <v>0</v>
      </c>
      <c r="BJ429" s="15" t="s">
        <v>143</v>
      </c>
      <c r="BK429" s="138">
        <f>ROUND(I429*H429,2)</f>
        <v>105951.03999999999</v>
      </c>
      <c r="BL429" s="15" t="s">
        <v>206</v>
      </c>
      <c r="BM429" s="137" t="s">
        <v>1099</v>
      </c>
    </row>
    <row r="430" spans="2:65" s="1" customFormat="1" ht="33" customHeight="1">
      <c r="B430" s="126"/>
      <c r="C430" s="127" t="s">
        <v>1100</v>
      </c>
      <c r="D430" s="127" t="s">
        <v>144</v>
      </c>
      <c r="E430" s="128" t="s">
        <v>1101</v>
      </c>
      <c r="F430" s="129" t="s">
        <v>1102</v>
      </c>
      <c r="G430" s="130" t="s">
        <v>157</v>
      </c>
      <c r="H430" s="131">
        <v>5886.1689999999999</v>
      </c>
      <c r="I430" s="132">
        <v>68.900000000000006</v>
      </c>
      <c r="J430" s="132">
        <f>ROUND(I430*H430,2)</f>
        <v>405557.04</v>
      </c>
      <c r="K430" s="129" t="s">
        <v>148</v>
      </c>
      <c r="L430" s="27"/>
      <c r="M430" s="133" t="s">
        <v>1</v>
      </c>
      <c r="N430" s="134" t="s">
        <v>39</v>
      </c>
      <c r="O430" s="135">
        <v>0.10100000000000001</v>
      </c>
      <c r="P430" s="135">
        <f>O430*H430</f>
        <v>594.50306899999998</v>
      </c>
      <c r="Q430" s="135">
        <v>2.7999999999999998E-4</v>
      </c>
      <c r="R430" s="135">
        <f>Q430*H430</f>
        <v>1.6481273199999997</v>
      </c>
      <c r="S430" s="135">
        <v>0</v>
      </c>
      <c r="T430" s="136">
        <f>S430*H430</f>
        <v>0</v>
      </c>
      <c r="AR430" s="137" t="s">
        <v>206</v>
      </c>
      <c r="AT430" s="137" t="s">
        <v>144</v>
      </c>
      <c r="AU430" s="137" t="s">
        <v>143</v>
      </c>
      <c r="AY430" s="15" t="s">
        <v>141</v>
      </c>
      <c r="BE430" s="138">
        <f>IF(N430="základní",J430,0)</f>
        <v>0</v>
      </c>
      <c r="BF430" s="138">
        <f>IF(N430="snížená",J430,0)</f>
        <v>405557.04</v>
      </c>
      <c r="BG430" s="138">
        <f>IF(N430="zákl. přenesená",J430,0)</f>
        <v>0</v>
      </c>
      <c r="BH430" s="138">
        <f>IF(N430="sníž. přenesená",J430,0)</f>
        <v>0</v>
      </c>
      <c r="BI430" s="138">
        <f>IF(N430="nulová",J430,0)</f>
        <v>0</v>
      </c>
      <c r="BJ430" s="15" t="s">
        <v>143</v>
      </c>
      <c r="BK430" s="138">
        <f>ROUND(I430*H430,2)</f>
        <v>405557.04</v>
      </c>
      <c r="BL430" s="15" t="s">
        <v>206</v>
      </c>
      <c r="BM430" s="137" t="s">
        <v>1103</v>
      </c>
    </row>
    <row r="431" spans="2:65" s="11" customFormat="1" ht="25.9" customHeight="1">
      <c r="B431" s="115"/>
      <c r="D431" s="116" t="s">
        <v>72</v>
      </c>
      <c r="E431" s="117" t="s">
        <v>1104</v>
      </c>
      <c r="F431" s="117" t="s">
        <v>1105</v>
      </c>
      <c r="J431" s="118">
        <f>BK431</f>
        <v>103636</v>
      </c>
      <c r="L431" s="115"/>
      <c r="M431" s="119"/>
      <c r="P431" s="120">
        <f>P432+P435+P440</f>
        <v>0</v>
      </c>
      <c r="R431" s="120">
        <f>R432+R435+R440</f>
        <v>0</v>
      </c>
      <c r="T431" s="121">
        <f>T432+T435+T440</f>
        <v>0</v>
      </c>
      <c r="AR431" s="116" t="s">
        <v>159</v>
      </c>
      <c r="AT431" s="122" t="s">
        <v>72</v>
      </c>
      <c r="AU431" s="122" t="s">
        <v>73</v>
      </c>
      <c r="AY431" s="116" t="s">
        <v>141</v>
      </c>
      <c r="BK431" s="123">
        <f>BK432+BK435+BK440</f>
        <v>103636</v>
      </c>
    </row>
    <row r="432" spans="2:65" s="11" customFormat="1" ht="22.9" customHeight="1">
      <c r="B432" s="115"/>
      <c r="D432" s="116" t="s">
        <v>72</v>
      </c>
      <c r="E432" s="124" t="s">
        <v>1106</v>
      </c>
      <c r="F432" s="124" t="s">
        <v>1107</v>
      </c>
      <c r="J432" s="125">
        <f>BK432</f>
        <v>20280</v>
      </c>
      <c r="L432" s="115"/>
      <c r="M432" s="119"/>
      <c r="P432" s="120">
        <f>SUM(P433:P434)</f>
        <v>0</v>
      </c>
      <c r="R432" s="120">
        <f>SUM(R433:R434)</f>
        <v>0</v>
      </c>
      <c r="T432" s="121">
        <f>SUM(T433:T434)</f>
        <v>0</v>
      </c>
      <c r="AR432" s="116" t="s">
        <v>159</v>
      </c>
      <c r="AT432" s="122" t="s">
        <v>72</v>
      </c>
      <c r="AU432" s="122" t="s">
        <v>81</v>
      </c>
      <c r="AY432" s="116" t="s">
        <v>141</v>
      </c>
      <c r="BK432" s="123">
        <f>SUM(BK433:BK434)</f>
        <v>20280</v>
      </c>
    </row>
    <row r="433" spans="2:65" s="1" customFormat="1" ht="24.2" customHeight="1">
      <c r="B433" s="126"/>
      <c r="C433" s="127" t="s">
        <v>1108</v>
      </c>
      <c r="D433" s="127" t="s">
        <v>144</v>
      </c>
      <c r="E433" s="128" t="s">
        <v>1109</v>
      </c>
      <c r="F433" s="129" t="s">
        <v>1110</v>
      </c>
      <c r="G433" s="130" t="s">
        <v>1111</v>
      </c>
      <c r="H433" s="131">
        <v>1</v>
      </c>
      <c r="I433" s="132">
        <v>8320</v>
      </c>
      <c r="J433" s="132">
        <f>ROUND(I433*H433,2)</f>
        <v>8320</v>
      </c>
      <c r="K433" s="129" t="s">
        <v>148</v>
      </c>
      <c r="L433" s="27"/>
      <c r="M433" s="133" t="s">
        <v>1</v>
      </c>
      <c r="N433" s="134" t="s">
        <v>39</v>
      </c>
      <c r="O433" s="135">
        <v>0</v>
      </c>
      <c r="P433" s="135">
        <f>O433*H433</f>
        <v>0</v>
      </c>
      <c r="Q433" s="135">
        <v>0</v>
      </c>
      <c r="R433" s="135">
        <f>Q433*H433</f>
        <v>0</v>
      </c>
      <c r="S433" s="135">
        <v>0</v>
      </c>
      <c r="T433" s="136">
        <f>S433*H433</f>
        <v>0</v>
      </c>
      <c r="AR433" s="137" t="s">
        <v>1112</v>
      </c>
      <c r="AT433" s="137" t="s">
        <v>144</v>
      </c>
      <c r="AU433" s="137" t="s">
        <v>143</v>
      </c>
      <c r="AY433" s="15" t="s">
        <v>141</v>
      </c>
      <c r="BE433" s="138">
        <f>IF(N433="základní",J433,0)</f>
        <v>0</v>
      </c>
      <c r="BF433" s="138">
        <f>IF(N433="snížená",J433,0)</f>
        <v>8320</v>
      </c>
      <c r="BG433" s="138">
        <f>IF(N433="zákl. přenesená",J433,0)</f>
        <v>0</v>
      </c>
      <c r="BH433" s="138">
        <f>IF(N433="sníž. přenesená",J433,0)</f>
        <v>0</v>
      </c>
      <c r="BI433" s="138">
        <f>IF(N433="nulová",J433,0)</f>
        <v>0</v>
      </c>
      <c r="BJ433" s="15" t="s">
        <v>143</v>
      </c>
      <c r="BK433" s="138">
        <f>ROUND(I433*H433,2)</f>
        <v>8320</v>
      </c>
      <c r="BL433" s="15" t="s">
        <v>1112</v>
      </c>
      <c r="BM433" s="137" t="s">
        <v>1113</v>
      </c>
    </row>
    <row r="434" spans="2:65" s="1" customFormat="1" ht="21.75" customHeight="1">
      <c r="B434" s="126"/>
      <c r="C434" s="127" t="s">
        <v>1114</v>
      </c>
      <c r="D434" s="127" t="s">
        <v>144</v>
      </c>
      <c r="E434" s="128" t="s">
        <v>1115</v>
      </c>
      <c r="F434" s="129" t="s">
        <v>1116</v>
      </c>
      <c r="G434" s="130" t="s">
        <v>1111</v>
      </c>
      <c r="H434" s="131">
        <v>1</v>
      </c>
      <c r="I434" s="132">
        <v>11960</v>
      </c>
      <c r="J434" s="132">
        <f>ROUND(I434*H434,2)</f>
        <v>11960</v>
      </c>
      <c r="K434" s="129" t="s">
        <v>148</v>
      </c>
      <c r="L434" s="27"/>
      <c r="M434" s="133" t="s">
        <v>1</v>
      </c>
      <c r="N434" s="134" t="s">
        <v>39</v>
      </c>
      <c r="O434" s="135">
        <v>0</v>
      </c>
      <c r="P434" s="135">
        <f>O434*H434</f>
        <v>0</v>
      </c>
      <c r="Q434" s="135">
        <v>0</v>
      </c>
      <c r="R434" s="135">
        <f>Q434*H434</f>
        <v>0</v>
      </c>
      <c r="S434" s="135">
        <v>0</v>
      </c>
      <c r="T434" s="136">
        <f>S434*H434</f>
        <v>0</v>
      </c>
      <c r="AR434" s="137" t="s">
        <v>1112</v>
      </c>
      <c r="AT434" s="137" t="s">
        <v>144</v>
      </c>
      <c r="AU434" s="137" t="s">
        <v>143</v>
      </c>
      <c r="AY434" s="15" t="s">
        <v>141</v>
      </c>
      <c r="BE434" s="138">
        <f>IF(N434="základní",J434,0)</f>
        <v>0</v>
      </c>
      <c r="BF434" s="138">
        <f>IF(N434="snížená",J434,0)</f>
        <v>11960</v>
      </c>
      <c r="BG434" s="138">
        <f>IF(N434="zákl. přenesená",J434,0)</f>
        <v>0</v>
      </c>
      <c r="BH434" s="138">
        <f>IF(N434="sníž. přenesená",J434,0)</f>
        <v>0</v>
      </c>
      <c r="BI434" s="138">
        <f>IF(N434="nulová",J434,0)</f>
        <v>0</v>
      </c>
      <c r="BJ434" s="15" t="s">
        <v>143</v>
      </c>
      <c r="BK434" s="138">
        <f>ROUND(I434*H434,2)</f>
        <v>11960</v>
      </c>
      <c r="BL434" s="15" t="s">
        <v>1112</v>
      </c>
      <c r="BM434" s="137" t="s">
        <v>1117</v>
      </c>
    </row>
    <row r="435" spans="2:65" s="11" customFormat="1" ht="22.9" customHeight="1">
      <c r="B435" s="115"/>
      <c r="D435" s="116" t="s">
        <v>72</v>
      </c>
      <c r="E435" s="124" t="s">
        <v>1118</v>
      </c>
      <c r="F435" s="124" t="s">
        <v>1119</v>
      </c>
      <c r="J435" s="125">
        <f>BK435</f>
        <v>76492</v>
      </c>
      <c r="L435" s="115"/>
      <c r="M435" s="119"/>
      <c r="P435" s="120">
        <f>SUM(P436:P439)</f>
        <v>0</v>
      </c>
      <c r="R435" s="120">
        <f>SUM(R436:R439)</f>
        <v>0</v>
      </c>
      <c r="T435" s="121">
        <f>SUM(T436:T439)</f>
        <v>0</v>
      </c>
      <c r="AR435" s="116" t="s">
        <v>159</v>
      </c>
      <c r="AT435" s="122" t="s">
        <v>72</v>
      </c>
      <c r="AU435" s="122" t="s">
        <v>81</v>
      </c>
      <c r="AY435" s="116" t="s">
        <v>141</v>
      </c>
      <c r="BK435" s="123">
        <f>SUM(BK436:BK439)</f>
        <v>76492</v>
      </c>
    </row>
    <row r="436" spans="2:65" s="1" customFormat="1" ht="24.2" customHeight="1">
      <c r="B436" s="126"/>
      <c r="C436" s="127" t="s">
        <v>1120</v>
      </c>
      <c r="D436" s="127" t="s">
        <v>144</v>
      </c>
      <c r="E436" s="128" t="s">
        <v>1121</v>
      </c>
      <c r="F436" s="129" t="s">
        <v>1122</v>
      </c>
      <c r="G436" s="130" t="s">
        <v>1111</v>
      </c>
      <c r="H436" s="131">
        <v>1</v>
      </c>
      <c r="I436" s="132">
        <v>64480</v>
      </c>
      <c r="J436" s="132">
        <f>ROUND(I436*H436,2)</f>
        <v>64480</v>
      </c>
      <c r="K436" s="129" t="s">
        <v>148</v>
      </c>
      <c r="L436" s="27"/>
      <c r="M436" s="133" t="s">
        <v>1</v>
      </c>
      <c r="N436" s="134" t="s">
        <v>39</v>
      </c>
      <c r="O436" s="135">
        <v>0</v>
      </c>
      <c r="P436" s="135">
        <f>O436*H436</f>
        <v>0</v>
      </c>
      <c r="Q436" s="135">
        <v>0</v>
      </c>
      <c r="R436" s="135">
        <f>Q436*H436</f>
        <v>0</v>
      </c>
      <c r="S436" s="135">
        <v>0</v>
      </c>
      <c r="T436" s="136">
        <f>S436*H436</f>
        <v>0</v>
      </c>
      <c r="AR436" s="137" t="s">
        <v>1112</v>
      </c>
      <c r="AT436" s="137" t="s">
        <v>144</v>
      </c>
      <c r="AU436" s="137" t="s">
        <v>143</v>
      </c>
      <c r="AY436" s="15" t="s">
        <v>141</v>
      </c>
      <c r="BE436" s="138">
        <f>IF(N436="základní",J436,0)</f>
        <v>0</v>
      </c>
      <c r="BF436" s="138">
        <f>IF(N436="snížená",J436,0)</f>
        <v>64480</v>
      </c>
      <c r="BG436" s="138">
        <f>IF(N436="zákl. přenesená",J436,0)</f>
        <v>0</v>
      </c>
      <c r="BH436" s="138">
        <f>IF(N436="sníž. přenesená",J436,0)</f>
        <v>0</v>
      </c>
      <c r="BI436" s="138">
        <f>IF(N436="nulová",J436,0)</f>
        <v>0</v>
      </c>
      <c r="BJ436" s="15" t="s">
        <v>143</v>
      </c>
      <c r="BK436" s="138">
        <f>ROUND(I436*H436,2)</f>
        <v>64480</v>
      </c>
      <c r="BL436" s="15" t="s">
        <v>1112</v>
      </c>
      <c r="BM436" s="137" t="s">
        <v>1123</v>
      </c>
    </row>
    <row r="437" spans="2:65" s="1" customFormat="1" ht="16.5" customHeight="1">
      <c r="B437" s="126"/>
      <c r="C437" s="127" t="s">
        <v>1124</v>
      </c>
      <c r="D437" s="127" t="s">
        <v>144</v>
      </c>
      <c r="E437" s="128" t="s">
        <v>1125</v>
      </c>
      <c r="F437" s="129" t="s">
        <v>1126</v>
      </c>
      <c r="G437" s="130" t="s">
        <v>1111</v>
      </c>
      <c r="H437" s="131">
        <v>1</v>
      </c>
      <c r="I437" s="132">
        <v>4472</v>
      </c>
      <c r="J437" s="132">
        <f>ROUND(I437*H437,2)</f>
        <v>4472</v>
      </c>
      <c r="K437" s="129" t="s">
        <v>148</v>
      </c>
      <c r="L437" s="27"/>
      <c r="M437" s="133" t="s">
        <v>1</v>
      </c>
      <c r="N437" s="134" t="s">
        <v>39</v>
      </c>
      <c r="O437" s="135">
        <v>0</v>
      </c>
      <c r="P437" s="135">
        <f>O437*H437</f>
        <v>0</v>
      </c>
      <c r="Q437" s="135">
        <v>0</v>
      </c>
      <c r="R437" s="135">
        <f>Q437*H437</f>
        <v>0</v>
      </c>
      <c r="S437" s="135">
        <v>0</v>
      </c>
      <c r="T437" s="136">
        <f>S437*H437</f>
        <v>0</v>
      </c>
      <c r="AR437" s="137" t="s">
        <v>1112</v>
      </c>
      <c r="AT437" s="137" t="s">
        <v>144</v>
      </c>
      <c r="AU437" s="137" t="s">
        <v>143</v>
      </c>
      <c r="AY437" s="15" t="s">
        <v>141</v>
      </c>
      <c r="BE437" s="138">
        <f>IF(N437="základní",J437,0)</f>
        <v>0</v>
      </c>
      <c r="BF437" s="138">
        <f>IF(N437="snížená",J437,0)</f>
        <v>4472</v>
      </c>
      <c r="BG437" s="138">
        <f>IF(N437="zákl. přenesená",J437,0)</f>
        <v>0</v>
      </c>
      <c r="BH437" s="138">
        <f>IF(N437="sníž. přenesená",J437,0)</f>
        <v>0</v>
      </c>
      <c r="BI437" s="138">
        <f>IF(N437="nulová",J437,0)</f>
        <v>0</v>
      </c>
      <c r="BJ437" s="15" t="s">
        <v>143</v>
      </c>
      <c r="BK437" s="138">
        <f>ROUND(I437*H437,2)</f>
        <v>4472</v>
      </c>
      <c r="BL437" s="15" t="s">
        <v>1112</v>
      </c>
      <c r="BM437" s="137" t="s">
        <v>1127</v>
      </c>
    </row>
    <row r="438" spans="2:65" s="1" customFormat="1" ht="24.2" customHeight="1">
      <c r="B438" s="126"/>
      <c r="C438" s="127" t="s">
        <v>1128</v>
      </c>
      <c r="D438" s="127" t="s">
        <v>144</v>
      </c>
      <c r="E438" s="128" t="s">
        <v>1129</v>
      </c>
      <c r="F438" s="129" t="s">
        <v>1130</v>
      </c>
      <c r="G438" s="130" t="s">
        <v>1111</v>
      </c>
      <c r="H438" s="131">
        <v>1</v>
      </c>
      <c r="I438" s="132">
        <v>6240</v>
      </c>
      <c r="J438" s="132">
        <f>ROUND(I438*H438,2)</f>
        <v>6240</v>
      </c>
      <c r="K438" s="129" t="s">
        <v>148</v>
      </c>
      <c r="L438" s="27"/>
      <c r="M438" s="133" t="s">
        <v>1</v>
      </c>
      <c r="N438" s="134" t="s">
        <v>39</v>
      </c>
      <c r="O438" s="135">
        <v>0</v>
      </c>
      <c r="P438" s="135">
        <f>O438*H438</f>
        <v>0</v>
      </c>
      <c r="Q438" s="135">
        <v>0</v>
      </c>
      <c r="R438" s="135">
        <f>Q438*H438</f>
        <v>0</v>
      </c>
      <c r="S438" s="135">
        <v>0</v>
      </c>
      <c r="T438" s="136">
        <f>S438*H438</f>
        <v>0</v>
      </c>
      <c r="AR438" s="137" t="s">
        <v>1112</v>
      </c>
      <c r="AT438" s="137" t="s">
        <v>144</v>
      </c>
      <c r="AU438" s="137" t="s">
        <v>143</v>
      </c>
      <c r="AY438" s="15" t="s">
        <v>141</v>
      </c>
      <c r="BE438" s="138">
        <f>IF(N438="základní",J438,0)</f>
        <v>0</v>
      </c>
      <c r="BF438" s="138">
        <f>IF(N438="snížená",J438,0)</f>
        <v>6240</v>
      </c>
      <c r="BG438" s="138">
        <f>IF(N438="zákl. přenesená",J438,0)</f>
        <v>0</v>
      </c>
      <c r="BH438" s="138">
        <f>IF(N438="sníž. přenesená",J438,0)</f>
        <v>0</v>
      </c>
      <c r="BI438" s="138">
        <f>IF(N438="nulová",J438,0)</f>
        <v>0</v>
      </c>
      <c r="BJ438" s="15" t="s">
        <v>143</v>
      </c>
      <c r="BK438" s="138">
        <f>ROUND(I438*H438,2)</f>
        <v>6240</v>
      </c>
      <c r="BL438" s="15" t="s">
        <v>1112</v>
      </c>
      <c r="BM438" s="137" t="s">
        <v>1131</v>
      </c>
    </row>
    <row r="439" spans="2:65" s="1" customFormat="1" ht="16.5" customHeight="1">
      <c r="B439" s="126"/>
      <c r="C439" s="127" t="s">
        <v>1132</v>
      </c>
      <c r="D439" s="127" t="s">
        <v>144</v>
      </c>
      <c r="E439" s="128" t="s">
        <v>1133</v>
      </c>
      <c r="F439" s="129" t="s">
        <v>1134</v>
      </c>
      <c r="G439" s="130" t="s">
        <v>1111</v>
      </c>
      <c r="H439" s="131">
        <v>1</v>
      </c>
      <c r="I439" s="132">
        <v>1300</v>
      </c>
      <c r="J439" s="132">
        <f>ROUND(I439*H439,2)</f>
        <v>1300</v>
      </c>
      <c r="K439" s="129" t="s">
        <v>148</v>
      </c>
      <c r="L439" s="27"/>
      <c r="M439" s="133" t="s">
        <v>1</v>
      </c>
      <c r="N439" s="134" t="s">
        <v>39</v>
      </c>
      <c r="O439" s="135">
        <v>0</v>
      </c>
      <c r="P439" s="135">
        <f>O439*H439</f>
        <v>0</v>
      </c>
      <c r="Q439" s="135">
        <v>0</v>
      </c>
      <c r="R439" s="135">
        <f>Q439*H439</f>
        <v>0</v>
      </c>
      <c r="S439" s="135">
        <v>0</v>
      </c>
      <c r="T439" s="136">
        <f>S439*H439</f>
        <v>0</v>
      </c>
      <c r="AR439" s="137" t="s">
        <v>1112</v>
      </c>
      <c r="AT439" s="137" t="s">
        <v>144</v>
      </c>
      <c r="AU439" s="137" t="s">
        <v>143</v>
      </c>
      <c r="AY439" s="15" t="s">
        <v>141</v>
      </c>
      <c r="BE439" s="138">
        <f>IF(N439="základní",J439,0)</f>
        <v>0</v>
      </c>
      <c r="BF439" s="138">
        <f>IF(N439="snížená",J439,0)</f>
        <v>1300</v>
      </c>
      <c r="BG439" s="138">
        <f>IF(N439="zákl. přenesená",J439,0)</f>
        <v>0</v>
      </c>
      <c r="BH439" s="138">
        <f>IF(N439="sníž. přenesená",J439,0)</f>
        <v>0</v>
      </c>
      <c r="BI439" s="138">
        <f>IF(N439="nulová",J439,0)</f>
        <v>0</v>
      </c>
      <c r="BJ439" s="15" t="s">
        <v>143</v>
      </c>
      <c r="BK439" s="138">
        <f>ROUND(I439*H439,2)</f>
        <v>1300</v>
      </c>
      <c r="BL439" s="15" t="s">
        <v>1112</v>
      </c>
      <c r="BM439" s="137" t="s">
        <v>1135</v>
      </c>
    </row>
    <row r="440" spans="2:65" s="11" customFormat="1" ht="22.9" customHeight="1">
      <c r="B440" s="115"/>
      <c r="D440" s="116" t="s">
        <v>72</v>
      </c>
      <c r="E440" s="124" t="s">
        <v>1136</v>
      </c>
      <c r="F440" s="124" t="s">
        <v>1137</v>
      </c>
      <c r="J440" s="125">
        <f>BK440</f>
        <v>6864</v>
      </c>
      <c r="L440" s="115"/>
      <c r="M440" s="119"/>
      <c r="P440" s="120">
        <f>P441</f>
        <v>0</v>
      </c>
      <c r="R440" s="120">
        <f>R441</f>
        <v>0</v>
      </c>
      <c r="T440" s="121">
        <f>T441</f>
        <v>0</v>
      </c>
      <c r="AR440" s="116" t="s">
        <v>159</v>
      </c>
      <c r="AT440" s="122" t="s">
        <v>72</v>
      </c>
      <c r="AU440" s="122" t="s">
        <v>81</v>
      </c>
      <c r="AY440" s="116" t="s">
        <v>141</v>
      </c>
      <c r="BK440" s="123">
        <f>BK441</f>
        <v>6864</v>
      </c>
    </row>
    <row r="441" spans="2:65" s="1" customFormat="1" ht="16.5" customHeight="1">
      <c r="B441" s="126"/>
      <c r="C441" s="127" t="s">
        <v>1138</v>
      </c>
      <c r="D441" s="127" t="s">
        <v>144</v>
      </c>
      <c r="E441" s="128" t="s">
        <v>1139</v>
      </c>
      <c r="F441" s="129" t="s">
        <v>1140</v>
      </c>
      <c r="G441" s="130" t="s">
        <v>1111</v>
      </c>
      <c r="H441" s="131">
        <v>1</v>
      </c>
      <c r="I441" s="132">
        <v>6864</v>
      </c>
      <c r="J441" s="132">
        <f>ROUND(I441*H441,2)</f>
        <v>6864</v>
      </c>
      <c r="K441" s="129" t="s">
        <v>148</v>
      </c>
      <c r="L441" s="27"/>
      <c r="M441" s="155" t="s">
        <v>1</v>
      </c>
      <c r="N441" s="156" t="s">
        <v>39</v>
      </c>
      <c r="O441" s="157">
        <v>0</v>
      </c>
      <c r="P441" s="157">
        <f>O441*H441</f>
        <v>0</v>
      </c>
      <c r="Q441" s="157">
        <v>0</v>
      </c>
      <c r="R441" s="157">
        <f>Q441*H441</f>
        <v>0</v>
      </c>
      <c r="S441" s="157">
        <v>0</v>
      </c>
      <c r="T441" s="158">
        <f>S441*H441</f>
        <v>0</v>
      </c>
      <c r="AR441" s="137" t="s">
        <v>1112</v>
      </c>
      <c r="AT441" s="137" t="s">
        <v>144</v>
      </c>
      <c r="AU441" s="137" t="s">
        <v>143</v>
      </c>
      <c r="AY441" s="15" t="s">
        <v>141</v>
      </c>
      <c r="BE441" s="138">
        <f>IF(N441="základní",J441,0)</f>
        <v>0</v>
      </c>
      <c r="BF441" s="138">
        <f>IF(N441="snížená",J441,0)</f>
        <v>6864</v>
      </c>
      <c r="BG441" s="138">
        <f>IF(N441="zákl. přenesená",J441,0)</f>
        <v>0</v>
      </c>
      <c r="BH441" s="138">
        <f>IF(N441="sníž. přenesená",J441,0)</f>
        <v>0</v>
      </c>
      <c r="BI441" s="138">
        <f>IF(N441="nulová",J441,0)</f>
        <v>0</v>
      </c>
      <c r="BJ441" s="15" t="s">
        <v>143</v>
      </c>
      <c r="BK441" s="138">
        <f>ROUND(I441*H441,2)</f>
        <v>6864</v>
      </c>
      <c r="BL441" s="15" t="s">
        <v>1112</v>
      </c>
      <c r="BM441" s="137" t="s">
        <v>1141</v>
      </c>
    </row>
    <row r="442" spans="2:65" s="1" customFormat="1" ht="6.95" customHeight="1">
      <c r="B442" s="39"/>
      <c r="C442" s="40"/>
      <c r="D442" s="40"/>
      <c r="E442" s="40"/>
      <c r="F442" s="40"/>
      <c r="G442" s="40"/>
      <c r="H442" s="40"/>
      <c r="I442" s="40"/>
      <c r="J442" s="40"/>
      <c r="K442" s="40"/>
      <c r="L442" s="27"/>
    </row>
  </sheetData>
  <autoFilter ref="C144:K441" xr:uid="{00000000-0009-0000-0000-000001000000}"/>
  <mergeCells count="8">
    <mergeCell ref="E135:H135"/>
    <mergeCell ref="E137:H137"/>
    <mergeCell ref="L2:V2"/>
    <mergeCell ref="E7:H7"/>
    <mergeCell ref="E9:H9"/>
    <mergeCell ref="E27:H27"/>
    <mergeCell ref="E85:H85"/>
    <mergeCell ref="E87:H87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D8CCB6-BA45-4EA4-BFF1-06A3F8D19E41}">
  <sheetPr>
    <pageSetUpPr fitToPage="1"/>
  </sheetPr>
  <dimension ref="B2:BM271"/>
  <sheetViews>
    <sheetView showGridLines="0" topLeftCell="A14" workbookViewId="0">
      <selection activeCell="J30" sqref="J30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</cols>
  <sheetData>
    <row r="2" spans="2:46" ht="36.950000000000003" customHeight="1">
      <c r="L2" s="269" t="s">
        <v>5</v>
      </c>
      <c r="M2" s="250"/>
      <c r="N2" s="250"/>
      <c r="O2" s="250"/>
      <c r="P2" s="250"/>
      <c r="Q2" s="250"/>
      <c r="R2" s="250"/>
      <c r="S2" s="250"/>
      <c r="T2" s="250"/>
      <c r="U2" s="250"/>
      <c r="V2" s="250"/>
      <c r="AT2" s="15" t="s">
        <v>2096</v>
      </c>
    </row>
    <row r="3" spans="2:46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81</v>
      </c>
    </row>
    <row r="4" spans="2:46" ht="24.95" customHeight="1">
      <c r="B4" s="18"/>
      <c r="D4" s="19" t="s">
        <v>89</v>
      </c>
      <c r="L4" s="18"/>
      <c r="M4" s="83" t="s">
        <v>10</v>
      </c>
      <c r="AT4" s="15" t="s">
        <v>3</v>
      </c>
    </row>
    <row r="5" spans="2:46" ht="6.95" customHeight="1">
      <c r="B5" s="18"/>
      <c r="L5" s="18"/>
    </row>
    <row r="6" spans="2:46" ht="12" customHeight="1">
      <c r="B6" s="18"/>
      <c r="D6" s="24" t="s">
        <v>14</v>
      </c>
      <c r="L6" s="18"/>
    </row>
    <row r="7" spans="2:46" ht="26.25" customHeight="1">
      <c r="B7" s="18"/>
      <c r="E7" s="283" t="s">
        <v>2465</v>
      </c>
      <c r="F7" s="284"/>
      <c r="G7" s="284"/>
      <c r="H7" s="284"/>
      <c r="L7" s="18"/>
    </row>
    <row r="8" spans="2:46" s="1" customFormat="1" ht="12" customHeight="1">
      <c r="B8" s="27"/>
      <c r="D8" s="24" t="s">
        <v>90</v>
      </c>
      <c r="L8" s="27"/>
    </row>
    <row r="9" spans="2:46" s="1" customFormat="1" ht="16.5" customHeight="1">
      <c r="B9" s="27"/>
      <c r="E9" s="270" t="s">
        <v>2095</v>
      </c>
      <c r="F9" s="285"/>
      <c r="G9" s="285"/>
      <c r="H9" s="285"/>
      <c r="L9" s="27"/>
    </row>
    <row r="10" spans="2:46" s="1" customFormat="1">
      <c r="B10" s="27"/>
      <c r="L10" s="27"/>
    </row>
    <row r="11" spans="2:46" s="1" customFormat="1" ht="12" customHeight="1">
      <c r="B11" s="27"/>
      <c r="D11" s="24" t="s">
        <v>16</v>
      </c>
      <c r="F11" s="22" t="s">
        <v>1</v>
      </c>
      <c r="I11" s="24" t="s">
        <v>17</v>
      </c>
      <c r="J11" s="22" t="s">
        <v>1</v>
      </c>
      <c r="L11" s="27"/>
    </row>
    <row r="12" spans="2:46" s="1" customFormat="1" ht="12" customHeight="1">
      <c r="B12" s="27"/>
      <c r="D12" s="24" t="s">
        <v>18</v>
      </c>
      <c r="F12" s="22" t="s">
        <v>1514</v>
      </c>
      <c r="I12" s="24" t="s">
        <v>20</v>
      </c>
      <c r="J12" s="47" t="s">
        <v>2466</v>
      </c>
      <c r="L12" s="27"/>
    </row>
    <row r="13" spans="2:46" s="1" customFormat="1" ht="10.9" customHeight="1">
      <c r="B13" s="27"/>
      <c r="L13" s="27"/>
    </row>
    <row r="14" spans="2:46" s="1" customFormat="1" ht="12" customHeight="1">
      <c r="B14" s="27"/>
      <c r="D14" s="24" t="s">
        <v>21</v>
      </c>
      <c r="I14" s="24" t="s">
        <v>22</v>
      </c>
      <c r="J14" s="22" t="s">
        <v>1</v>
      </c>
      <c r="L14" s="27"/>
    </row>
    <row r="15" spans="2:46" s="1" customFormat="1" ht="18" customHeight="1">
      <c r="B15" s="27"/>
      <c r="E15" s="22" t="s">
        <v>2467</v>
      </c>
      <c r="I15" s="24" t="s">
        <v>24</v>
      </c>
      <c r="J15" s="22" t="s">
        <v>1</v>
      </c>
      <c r="L15" s="27"/>
    </row>
    <row r="16" spans="2:46" s="1" customFormat="1" ht="6.95" customHeight="1">
      <c r="B16" s="27"/>
      <c r="L16" s="27"/>
    </row>
    <row r="17" spans="2:12" s="1" customFormat="1" ht="12" customHeight="1">
      <c r="B17" s="27"/>
      <c r="D17" s="24" t="s">
        <v>25</v>
      </c>
      <c r="I17" s="24" t="s">
        <v>22</v>
      </c>
      <c r="J17" s="22" t="s">
        <v>1</v>
      </c>
      <c r="L17" s="27"/>
    </row>
    <row r="18" spans="2:12" s="1" customFormat="1" ht="18" customHeight="1">
      <c r="B18" s="27"/>
      <c r="E18" s="249" t="s">
        <v>2467</v>
      </c>
      <c r="F18" s="249"/>
      <c r="G18" s="249"/>
      <c r="H18" s="249"/>
      <c r="I18" s="24" t="s">
        <v>24</v>
      </c>
      <c r="J18" s="22" t="s">
        <v>1</v>
      </c>
      <c r="L18" s="27"/>
    </row>
    <row r="19" spans="2:12" s="1" customFormat="1" ht="6.95" customHeight="1">
      <c r="B19" s="27"/>
      <c r="L19" s="27"/>
    </row>
    <row r="20" spans="2:12" s="1" customFormat="1" ht="12" customHeight="1">
      <c r="B20" s="27"/>
      <c r="D20" s="24" t="s">
        <v>27</v>
      </c>
      <c r="I20" s="24" t="s">
        <v>22</v>
      </c>
      <c r="J20" s="22" t="s">
        <v>1</v>
      </c>
      <c r="L20" s="27"/>
    </row>
    <row r="21" spans="2:12" s="1" customFormat="1" ht="18" customHeight="1">
      <c r="B21" s="27"/>
      <c r="E21" s="22" t="s">
        <v>2467</v>
      </c>
      <c r="I21" s="24" t="s">
        <v>24</v>
      </c>
      <c r="J21" s="22" t="s">
        <v>1</v>
      </c>
      <c r="L21" s="27"/>
    </row>
    <row r="22" spans="2:12" s="1" customFormat="1" ht="6.95" customHeight="1">
      <c r="B22" s="27"/>
      <c r="L22" s="27"/>
    </row>
    <row r="23" spans="2:12" s="1" customFormat="1" ht="12" customHeight="1">
      <c r="B23" s="27"/>
      <c r="D23" s="24" t="s">
        <v>30</v>
      </c>
      <c r="I23" s="24" t="s">
        <v>22</v>
      </c>
      <c r="J23" s="22" t="s">
        <v>1</v>
      </c>
      <c r="L23" s="27"/>
    </row>
    <row r="24" spans="2:12" s="1" customFormat="1" ht="18" customHeight="1">
      <c r="B24" s="27"/>
      <c r="E24" s="22" t="s">
        <v>2467</v>
      </c>
      <c r="I24" s="24" t="s">
        <v>24</v>
      </c>
      <c r="J24" s="22" t="s">
        <v>1</v>
      </c>
      <c r="L24" s="27"/>
    </row>
    <row r="25" spans="2:12" s="1" customFormat="1" ht="6.95" customHeight="1">
      <c r="B25" s="27"/>
      <c r="L25" s="27"/>
    </row>
    <row r="26" spans="2:12" s="1" customFormat="1" ht="12" customHeight="1">
      <c r="B26" s="27"/>
      <c r="D26" s="24" t="s">
        <v>32</v>
      </c>
      <c r="L26" s="27"/>
    </row>
    <row r="27" spans="2:12" s="7" customFormat="1" ht="16.5" customHeight="1">
      <c r="B27" s="84"/>
      <c r="E27" s="252" t="s">
        <v>1</v>
      </c>
      <c r="F27" s="252"/>
      <c r="G27" s="252"/>
      <c r="H27" s="252"/>
      <c r="L27" s="84"/>
    </row>
    <row r="28" spans="2:12" s="1" customFormat="1" ht="6.95" customHeight="1">
      <c r="B28" s="27"/>
      <c r="L28" s="27"/>
    </row>
    <row r="29" spans="2:12" s="1" customFormat="1" ht="6.95" customHeight="1">
      <c r="B29" s="27"/>
      <c r="D29" s="48"/>
      <c r="E29" s="48"/>
      <c r="F29" s="48"/>
      <c r="G29" s="48"/>
      <c r="H29" s="48"/>
      <c r="I29" s="48"/>
      <c r="J29" s="48"/>
      <c r="K29" s="48"/>
      <c r="L29" s="27"/>
    </row>
    <row r="30" spans="2:12" s="1" customFormat="1" ht="25.35" customHeight="1">
      <c r="B30" s="27"/>
      <c r="D30" s="85" t="s">
        <v>33</v>
      </c>
      <c r="J30" s="61">
        <f>ROUND(J128, 2)</f>
        <v>1811762.55</v>
      </c>
      <c r="L30" s="27"/>
    </row>
    <row r="31" spans="2:12" s="1" customFormat="1" ht="6.95" customHeight="1">
      <c r="B31" s="27"/>
      <c r="D31" s="48"/>
      <c r="E31" s="48"/>
      <c r="F31" s="48"/>
      <c r="G31" s="48"/>
      <c r="H31" s="48"/>
      <c r="I31" s="48"/>
      <c r="J31" s="48"/>
      <c r="K31" s="48"/>
      <c r="L31" s="27"/>
    </row>
    <row r="32" spans="2:12" s="1" customFormat="1" ht="14.45" customHeight="1">
      <c r="B32" s="27"/>
      <c r="F32" s="30" t="s">
        <v>35</v>
      </c>
      <c r="I32" s="30" t="s">
        <v>34</v>
      </c>
      <c r="J32" s="30" t="s">
        <v>36</v>
      </c>
      <c r="L32" s="27"/>
    </row>
    <row r="33" spans="2:12" s="1" customFormat="1" ht="14.45" customHeight="1">
      <c r="B33" s="27"/>
      <c r="D33" s="50" t="s">
        <v>37</v>
      </c>
      <c r="E33" s="24" t="s">
        <v>38</v>
      </c>
      <c r="F33" s="86">
        <f>ROUND((SUM(BE128:BE270)),  2)</f>
        <v>0</v>
      </c>
      <c r="I33" s="87">
        <v>0.21</v>
      </c>
      <c r="J33" s="86">
        <f>ROUND(((SUM(BE128:BE270))*I33),  2)</f>
        <v>0</v>
      </c>
      <c r="L33" s="27"/>
    </row>
    <row r="34" spans="2:12" s="1" customFormat="1" ht="14.45" customHeight="1">
      <c r="B34" s="27"/>
      <c r="E34" s="24" t="s">
        <v>39</v>
      </c>
      <c r="F34" s="86">
        <f>ROUND((SUM(BF128:BF270)),  2)</f>
        <v>1811762.55</v>
      </c>
      <c r="I34" s="87">
        <v>0.15</v>
      </c>
      <c r="J34" s="86">
        <f>ROUND(((SUM(BF128:BF270))*I34),  2)</f>
        <v>271764.38</v>
      </c>
      <c r="L34" s="27"/>
    </row>
    <row r="35" spans="2:12" s="1" customFormat="1" ht="14.45" hidden="1" customHeight="1">
      <c r="B35" s="27"/>
      <c r="E35" s="24" t="s">
        <v>40</v>
      </c>
      <c r="F35" s="86">
        <f>ROUND((SUM(BG128:BG270)),  2)</f>
        <v>0</v>
      </c>
      <c r="I35" s="87">
        <v>0.21</v>
      </c>
      <c r="J35" s="86">
        <f>0</f>
        <v>0</v>
      </c>
      <c r="L35" s="27"/>
    </row>
    <row r="36" spans="2:12" s="1" customFormat="1" ht="14.45" hidden="1" customHeight="1">
      <c r="B36" s="27"/>
      <c r="E36" s="24" t="s">
        <v>41</v>
      </c>
      <c r="F36" s="86">
        <f>ROUND((SUM(BH128:BH270)),  2)</f>
        <v>0</v>
      </c>
      <c r="I36" s="87">
        <v>0.15</v>
      </c>
      <c r="J36" s="86">
        <f>0</f>
        <v>0</v>
      </c>
      <c r="L36" s="27"/>
    </row>
    <row r="37" spans="2:12" s="1" customFormat="1" ht="14.45" hidden="1" customHeight="1">
      <c r="B37" s="27"/>
      <c r="E37" s="24" t="s">
        <v>42</v>
      </c>
      <c r="F37" s="86">
        <f>ROUND((SUM(BI128:BI270)),  2)</f>
        <v>0</v>
      </c>
      <c r="I37" s="87">
        <v>0</v>
      </c>
      <c r="J37" s="86">
        <f>0</f>
        <v>0</v>
      </c>
      <c r="L37" s="27"/>
    </row>
    <row r="38" spans="2:12" s="1" customFormat="1" ht="6.95" customHeight="1">
      <c r="B38" s="27"/>
      <c r="L38" s="27"/>
    </row>
    <row r="39" spans="2:12" s="1" customFormat="1" ht="25.35" customHeight="1">
      <c r="B39" s="27"/>
      <c r="C39" s="88"/>
      <c r="D39" s="89" t="s">
        <v>43</v>
      </c>
      <c r="E39" s="52"/>
      <c r="F39" s="52"/>
      <c r="G39" s="90" t="s">
        <v>44</v>
      </c>
      <c r="H39" s="91" t="s">
        <v>45</v>
      </c>
      <c r="I39" s="52"/>
      <c r="J39" s="92">
        <f>SUM(J30:J37)</f>
        <v>2083526.9300000002</v>
      </c>
      <c r="K39" s="93"/>
      <c r="L39" s="27"/>
    </row>
    <row r="40" spans="2:12" s="1" customFormat="1" ht="14.45" customHeight="1">
      <c r="B40" s="27"/>
      <c r="L40" s="27"/>
    </row>
    <row r="41" spans="2:12" ht="14.45" customHeight="1">
      <c r="B41" s="18"/>
      <c r="L41" s="18"/>
    </row>
    <row r="42" spans="2:12" ht="14.45" customHeight="1">
      <c r="B42" s="18"/>
      <c r="L42" s="18"/>
    </row>
    <row r="43" spans="2:12" ht="14.45" customHeight="1">
      <c r="B43" s="18"/>
      <c r="L43" s="18"/>
    </row>
    <row r="44" spans="2:12" ht="14.45" customHeight="1">
      <c r="B44" s="18"/>
      <c r="L44" s="18"/>
    </row>
    <row r="45" spans="2:12" ht="14.45" customHeight="1">
      <c r="B45" s="18"/>
      <c r="L45" s="18"/>
    </row>
    <row r="46" spans="2:12" ht="14.45" customHeight="1">
      <c r="B46" s="18"/>
      <c r="L46" s="18"/>
    </row>
    <row r="47" spans="2:12" ht="14.45" customHeight="1">
      <c r="B47" s="18"/>
      <c r="L47" s="18"/>
    </row>
    <row r="48" spans="2:12" ht="14.45" customHeight="1">
      <c r="B48" s="18"/>
      <c r="L48" s="18"/>
    </row>
    <row r="49" spans="2:12" ht="14.45" customHeight="1">
      <c r="B49" s="18"/>
      <c r="L49" s="18"/>
    </row>
    <row r="50" spans="2:12" s="1" customFormat="1" ht="14.45" customHeight="1">
      <c r="B50" s="27"/>
      <c r="D50" s="36" t="s">
        <v>46</v>
      </c>
      <c r="E50" s="37"/>
      <c r="F50" s="37"/>
      <c r="G50" s="36" t="s">
        <v>47</v>
      </c>
      <c r="H50" s="37"/>
      <c r="I50" s="37"/>
      <c r="J50" s="37"/>
      <c r="K50" s="37"/>
      <c r="L50" s="27"/>
    </row>
    <row r="51" spans="2:12">
      <c r="B51" s="18"/>
      <c r="L51" s="18"/>
    </row>
    <row r="52" spans="2:12">
      <c r="B52" s="18"/>
      <c r="L52" s="18"/>
    </row>
    <row r="53" spans="2:12">
      <c r="B53" s="18"/>
      <c r="L53" s="18"/>
    </row>
    <row r="54" spans="2:12">
      <c r="B54" s="18"/>
      <c r="L54" s="18"/>
    </row>
    <row r="55" spans="2:12">
      <c r="B55" s="18"/>
      <c r="L55" s="18"/>
    </row>
    <row r="56" spans="2:12">
      <c r="B56" s="18"/>
      <c r="L56" s="18"/>
    </row>
    <row r="57" spans="2:12">
      <c r="B57" s="18"/>
      <c r="L57" s="18"/>
    </row>
    <row r="58" spans="2:12">
      <c r="B58" s="18"/>
      <c r="L58" s="18"/>
    </row>
    <row r="59" spans="2:12">
      <c r="B59" s="18"/>
      <c r="L59" s="18"/>
    </row>
    <row r="60" spans="2:12">
      <c r="B60" s="18"/>
      <c r="L60" s="18"/>
    </row>
    <row r="61" spans="2:12" s="1" customFormat="1" ht="12.75">
      <c r="B61" s="27"/>
      <c r="D61" s="38" t="s">
        <v>48</v>
      </c>
      <c r="E61" s="29"/>
      <c r="F61" s="94" t="s">
        <v>49</v>
      </c>
      <c r="G61" s="38" t="s">
        <v>48</v>
      </c>
      <c r="H61" s="29"/>
      <c r="I61" s="29"/>
      <c r="J61" s="95" t="s">
        <v>49</v>
      </c>
      <c r="K61" s="29"/>
      <c r="L61" s="27"/>
    </row>
    <row r="62" spans="2:12">
      <c r="B62" s="18"/>
      <c r="L62" s="18"/>
    </row>
    <row r="63" spans="2:12">
      <c r="B63" s="18"/>
      <c r="L63" s="18"/>
    </row>
    <row r="64" spans="2:12">
      <c r="B64" s="18"/>
      <c r="L64" s="18"/>
    </row>
    <row r="65" spans="2:12" s="1" customFormat="1" ht="12.75">
      <c r="B65" s="27"/>
      <c r="D65" s="36" t="s">
        <v>50</v>
      </c>
      <c r="E65" s="37"/>
      <c r="F65" s="37"/>
      <c r="G65" s="36" t="s">
        <v>51</v>
      </c>
      <c r="H65" s="37"/>
      <c r="I65" s="37"/>
      <c r="J65" s="37"/>
      <c r="K65" s="37"/>
      <c r="L65" s="27"/>
    </row>
    <row r="66" spans="2:12">
      <c r="B66" s="18"/>
      <c r="L66" s="18"/>
    </row>
    <row r="67" spans="2:12">
      <c r="B67" s="18"/>
      <c r="L67" s="18"/>
    </row>
    <row r="68" spans="2:12">
      <c r="B68" s="18"/>
      <c r="L68" s="18"/>
    </row>
    <row r="69" spans="2:12">
      <c r="B69" s="18"/>
      <c r="L69" s="18"/>
    </row>
    <row r="70" spans="2:12">
      <c r="B70" s="18"/>
      <c r="L70" s="18"/>
    </row>
    <row r="71" spans="2:12">
      <c r="B71" s="18"/>
      <c r="L71" s="18"/>
    </row>
    <row r="72" spans="2:12">
      <c r="B72" s="18"/>
      <c r="L72" s="18"/>
    </row>
    <row r="73" spans="2:12">
      <c r="B73" s="18"/>
      <c r="L73" s="18"/>
    </row>
    <row r="74" spans="2:12">
      <c r="B74" s="18"/>
      <c r="L74" s="18"/>
    </row>
    <row r="75" spans="2:12">
      <c r="B75" s="18"/>
      <c r="L75" s="18"/>
    </row>
    <row r="76" spans="2:12" s="1" customFormat="1" ht="12.75">
      <c r="B76" s="27"/>
      <c r="D76" s="38" t="s">
        <v>48</v>
      </c>
      <c r="E76" s="29"/>
      <c r="F76" s="94" t="s">
        <v>49</v>
      </c>
      <c r="G76" s="38" t="s">
        <v>48</v>
      </c>
      <c r="H76" s="29"/>
      <c r="I76" s="29"/>
      <c r="J76" s="95" t="s">
        <v>49</v>
      </c>
      <c r="K76" s="29"/>
      <c r="L76" s="27"/>
    </row>
    <row r="77" spans="2:12" s="1" customFormat="1" ht="14.45" customHeight="1"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27"/>
    </row>
    <row r="81" spans="2:47" s="1" customFormat="1" ht="6.95" customHeight="1"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27"/>
    </row>
    <row r="82" spans="2:47" s="1" customFormat="1" ht="24.95" customHeight="1">
      <c r="B82" s="27"/>
      <c r="C82" s="19" t="s">
        <v>92</v>
      </c>
      <c r="L82" s="27"/>
    </row>
    <row r="83" spans="2:47" s="1" customFormat="1" ht="6.95" customHeight="1">
      <c r="B83" s="27"/>
      <c r="L83" s="27"/>
    </row>
    <row r="84" spans="2:47" s="1" customFormat="1" ht="12" customHeight="1">
      <c r="B84" s="27"/>
      <c r="C84" s="24" t="s">
        <v>14</v>
      </c>
      <c r="L84" s="27"/>
    </row>
    <row r="85" spans="2:47" s="1" customFormat="1" ht="26.25" customHeight="1">
      <c r="B85" s="27"/>
      <c r="E85" s="283" t="str">
        <f>E7</f>
        <v>Rozvoj komunitních sociálních služeb DOZP v lokalitě Jičín - aktualizace PD - změna PD 11/2022</v>
      </c>
      <c r="F85" s="284"/>
      <c r="G85" s="284"/>
      <c r="H85" s="284"/>
      <c r="L85" s="27"/>
    </row>
    <row r="86" spans="2:47" s="1" customFormat="1" ht="12" customHeight="1">
      <c r="B86" s="27"/>
      <c r="C86" s="24" t="s">
        <v>90</v>
      </c>
      <c r="L86" s="27"/>
    </row>
    <row r="87" spans="2:47" s="1" customFormat="1" ht="16.5" customHeight="1">
      <c r="B87" s="27"/>
      <c r="E87" s="270" t="str">
        <f>E9</f>
        <v>Objekt A - e - Zdravotní technika</v>
      </c>
      <c r="F87" s="285"/>
      <c r="G87" s="285"/>
      <c r="H87" s="285"/>
      <c r="L87" s="27"/>
    </row>
    <row r="88" spans="2:47" s="1" customFormat="1" ht="6.95" customHeight="1">
      <c r="B88" s="27"/>
      <c r="L88" s="27"/>
    </row>
    <row r="89" spans="2:47" s="1" customFormat="1" ht="12" customHeight="1">
      <c r="B89" s="27"/>
      <c r="C89" s="24" t="s">
        <v>18</v>
      </c>
      <c r="F89" s="22" t="str">
        <f>F12</f>
        <v>Jičín</v>
      </c>
      <c r="I89" s="24" t="s">
        <v>20</v>
      </c>
      <c r="J89" s="47" t="str">
        <f>IF(J12="","",J12)</f>
        <v>15. 3. 2022</v>
      </c>
      <c r="L89" s="27"/>
    </row>
    <row r="90" spans="2:47" s="1" customFormat="1" ht="6.95" customHeight="1">
      <c r="B90" s="27"/>
      <c r="L90" s="27"/>
    </row>
    <row r="91" spans="2:47" s="1" customFormat="1" ht="15.2" customHeight="1">
      <c r="B91" s="27"/>
      <c r="C91" s="24" t="s">
        <v>21</v>
      </c>
      <c r="F91" s="22" t="str">
        <f>E15</f>
        <v xml:space="preserve"> </v>
      </c>
      <c r="I91" s="24" t="s">
        <v>27</v>
      </c>
      <c r="J91" s="25" t="str">
        <f>E21</f>
        <v xml:space="preserve"> </v>
      </c>
      <c r="L91" s="27"/>
    </row>
    <row r="92" spans="2:47" s="1" customFormat="1" ht="15.2" customHeight="1">
      <c r="B92" s="27"/>
      <c r="C92" s="24" t="s">
        <v>25</v>
      </c>
      <c r="F92" s="22" t="str">
        <f>IF(E18="","",E18)</f>
        <v xml:space="preserve"> </v>
      </c>
      <c r="I92" s="24" t="s">
        <v>30</v>
      </c>
      <c r="J92" s="25" t="str">
        <f>E24</f>
        <v xml:space="preserve"> </v>
      </c>
      <c r="L92" s="27"/>
    </row>
    <row r="93" spans="2:47" s="1" customFormat="1" ht="10.35" customHeight="1">
      <c r="B93" s="27"/>
      <c r="L93" s="27"/>
    </row>
    <row r="94" spans="2:47" s="1" customFormat="1" ht="29.25" customHeight="1">
      <c r="B94" s="27"/>
      <c r="C94" s="96" t="s">
        <v>93</v>
      </c>
      <c r="D94" s="88"/>
      <c r="E94" s="88"/>
      <c r="F94" s="88"/>
      <c r="G94" s="88"/>
      <c r="H94" s="88"/>
      <c r="I94" s="88"/>
      <c r="J94" s="97" t="s">
        <v>94</v>
      </c>
      <c r="K94" s="88"/>
      <c r="L94" s="27"/>
    </row>
    <row r="95" spans="2:47" s="1" customFormat="1" ht="10.35" customHeight="1">
      <c r="B95" s="27"/>
      <c r="L95" s="27"/>
    </row>
    <row r="96" spans="2:47" s="1" customFormat="1" ht="22.9" customHeight="1">
      <c r="B96" s="27"/>
      <c r="C96" s="98" t="s">
        <v>95</v>
      </c>
      <c r="J96" s="61">
        <f>J128</f>
        <v>1811762.55</v>
      </c>
      <c r="L96" s="27"/>
      <c r="AU96" s="15" t="s">
        <v>96</v>
      </c>
    </row>
    <row r="97" spans="2:12" s="8" customFormat="1" ht="24.95" customHeight="1">
      <c r="B97" s="99"/>
      <c r="D97" s="100" t="s">
        <v>2094</v>
      </c>
      <c r="E97" s="101"/>
      <c r="F97" s="101"/>
      <c r="G97" s="101"/>
      <c r="H97" s="101"/>
      <c r="I97" s="101"/>
      <c r="J97" s="102">
        <f>J129</f>
        <v>548712.60000000009</v>
      </c>
      <c r="L97" s="99"/>
    </row>
    <row r="98" spans="2:12" s="9" customFormat="1" ht="19.899999999999999" customHeight="1">
      <c r="B98" s="103"/>
      <c r="D98" s="104" t="s">
        <v>101</v>
      </c>
      <c r="E98" s="105"/>
      <c r="F98" s="105"/>
      <c r="G98" s="105"/>
      <c r="H98" s="105"/>
      <c r="I98" s="105"/>
      <c r="J98" s="106">
        <f>J153</f>
        <v>57646</v>
      </c>
      <c r="L98" s="103"/>
    </row>
    <row r="99" spans="2:12" s="9" customFormat="1" ht="19.899999999999999" customHeight="1">
      <c r="B99" s="103"/>
      <c r="D99" s="104" t="s">
        <v>102</v>
      </c>
      <c r="E99" s="105"/>
      <c r="F99" s="105"/>
      <c r="G99" s="105"/>
      <c r="H99" s="105"/>
      <c r="I99" s="105"/>
      <c r="J99" s="106">
        <f>J157</f>
        <v>5100</v>
      </c>
      <c r="L99" s="103"/>
    </row>
    <row r="100" spans="2:12" s="9" customFormat="1" ht="19.899999999999999" customHeight="1">
      <c r="B100" s="103"/>
      <c r="D100" s="104" t="s">
        <v>2093</v>
      </c>
      <c r="E100" s="105"/>
      <c r="F100" s="105"/>
      <c r="G100" s="105"/>
      <c r="H100" s="105"/>
      <c r="I100" s="105"/>
      <c r="J100" s="106">
        <f>J159</f>
        <v>305143.40000000002</v>
      </c>
      <c r="L100" s="103"/>
    </row>
    <row r="101" spans="2:12" s="8" customFormat="1" ht="24.95" customHeight="1">
      <c r="B101" s="99"/>
      <c r="D101" s="100" t="s">
        <v>105</v>
      </c>
      <c r="E101" s="101"/>
      <c r="F101" s="101"/>
      <c r="G101" s="101"/>
      <c r="H101" s="101"/>
      <c r="I101" s="101"/>
      <c r="J101" s="102">
        <f>J170</f>
        <v>1236349.95</v>
      </c>
      <c r="L101" s="99"/>
    </row>
    <row r="102" spans="2:12" s="9" customFormat="1" ht="19.899999999999999" customHeight="1">
      <c r="B102" s="103"/>
      <c r="D102" s="104" t="s">
        <v>2092</v>
      </c>
      <c r="E102" s="105"/>
      <c r="F102" s="105"/>
      <c r="G102" s="105"/>
      <c r="H102" s="105"/>
      <c r="I102" s="105"/>
      <c r="J102" s="106">
        <f>J171</f>
        <v>433923.14</v>
      </c>
      <c r="L102" s="103"/>
    </row>
    <row r="103" spans="2:12" s="9" customFormat="1" ht="19.899999999999999" customHeight="1">
      <c r="B103" s="103"/>
      <c r="D103" s="104" t="s">
        <v>2091</v>
      </c>
      <c r="E103" s="105"/>
      <c r="F103" s="105"/>
      <c r="G103" s="105"/>
      <c r="H103" s="105"/>
      <c r="I103" s="105"/>
      <c r="J103" s="106">
        <f>J198</f>
        <v>366039.09</v>
      </c>
      <c r="L103" s="103"/>
    </row>
    <row r="104" spans="2:12" s="9" customFormat="1" ht="19.899999999999999" customHeight="1">
      <c r="B104" s="103"/>
      <c r="D104" s="104" t="s">
        <v>2090</v>
      </c>
      <c r="E104" s="105"/>
      <c r="F104" s="105"/>
      <c r="G104" s="105"/>
      <c r="H104" s="105"/>
      <c r="I104" s="105"/>
      <c r="J104" s="106">
        <f>J225</f>
        <v>355527.46</v>
      </c>
      <c r="L104" s="103"/>
    </row>
    <row r="105" spans="2:12" s="9" customFormat="1" ht="19.899999999999999" customHeight="1">
      <c r="B105" s="103"/>
      <c r="D105" s="104" t="s">
        <v>2089</v>
      </c>
      <c r="E105" s="105"/>
      <c r="F105" s="105"/>
      <c r="G105" s="105"/>
      <c r="H105" s="105"/>
      <c r="I105" s="105"/>
      <c r="J105" s="106">
        <f>J252</f>
        <v>64551.56</v>
      </c>
      <c r="L105" s="103"/>
    </row>
    <row r="106" spans="2:12" s="9" customFormat="1" ht="19.899999999999999" customHeight="1">
      <c r="B106" s="103"/>
      <c r="D106" s="104" t="s">
        <v>1512</v>
      </c>
      <c r="E106" s="105"/>
      <c r="F106" s="105"/>
      <c r="G106" s="105"/>
      <c r="H106" s="105"/>
      <c r="I106" s="105"/>
      <c r="J106" s="106">
        <f>J257</f>
        <v>7085.4</v>
      </c>
      <c r="L106" s="103"/>
    </row>
    <row r="107" spans="2:12" s="9" customFormat="1" ht="19.899999999999999" customHeight="1">
      <c r="B107" s="103"/>
      <c r="D107" s="104" t="s">
        <v>1510</v>
      </c>
      <c r="E107" s="105"/>
      <c r="F107" s="105"/>
      <c r="G107" s="105"/>
      <c r="H107" s="105"/>
      <c r="I107" s="105"/>
      <c r="J107" s="106">
        <f>J262</f>
        <v>9223.2999999999993</v>
      </c>
      <c r="L107" s="103"/>
    </row>
    <row r="108" spans="2:12" s="8" customFormat="1" ht="24.95" customHeight="1">
      <c r="B108" s="99"/>
      <c r="D108" s="100" t="s">
        <v>1508</v>
      </c>
      <c r="E108" s="101"/>
      <c r="F108" s="101"/>
      <c r="G108" s="101"/>
      <c r="H108" s="101"/>
      <c r="I108" s="101"/>
      <c r="J108" s="102">
        <f>J269</f>
        <v>26700</v>
      </c>
      <c r="L108" s="99"/>
    </row>
    <row r="109" spans="2:12" s="1" customFormat="1" ht="21.75" customHeight="1">
      <c r="B109" s="27"/>
      <c r="L109" s="27"/>
    </row>
    <row r="110" spans="2:12" s="1" customFormat="1" ht="6.95" customHeight="1">
      <c r="B110" s="39"/>
      <c r="C110" s="40"/>
      <c r="D110" s="40"/>
      <c r="E110" s="40"/>
      <c r="F110" s="40"/>
      <c r="G110" s="40"/>
      <c r="H110" s="40"/>
      <c r="I110" s="40"/>
      <c r="J110" s="40"/>
      <c r="K110" s="40"/>
      <c r="L110" s="27"/>
    </row>
    <row r="114" spans="2:63" s="1" customFormat="1" ht="6.95" customHeight="1">
      <c r="B114" s="41"/>
      <c r="C114" s="42"/>
      <c r="D114" s="42"/>
      <c r="E114" s="42"/>
      <c r="F114" s="42"/>
      <c r="G114" s="42"/>
      <c r="H114" s="42"/>
      <c r="I114" s="42"/>
      <c r="J114" s="42"/>
      <c r="K114" s="42"/>
      <c r="L114" s="27"/>
    </row>
    <row r="115" spans="2:63" s="1" customFormat="1" ht="24.95" customHeight="1">
      <c r="B115" s="27"/>
      <c r="C115" s="19" t="s">
        <v>126</v>
      </c>
      <c r="L115" s="27"/>
    </row>
    <row r="116" spans="2:63" s="1" customFormat="1" ht="6.95" customHeight="1">
      <c r="B116" s="27"/>
      <c r="L116" s="27"/>
    </row>
    <row r="117" spans="2:63" s="1" customFormat="1" ht="12" customHeight="1">
      <c r="B117" s="27"/>
      <c r="C117" s="24" t="s">
        <v>14</v>
      </c>
      <c r="L117" s="27"/>
    </row>
    <row r="118" spans="2:63" s="1" customFormat="1" ht="26.25" customHeight="1">
      <c r="B118" s="27"/>
      <c r="E118" s="283" t="str">
        <f>E7</f>
        <v>Rozvoj komunitních sociálních služeb DOZP v lokalitě Jičín - aktualizace PD - změna PD 11/2022</v>
      </c>
      <c r="F118" s="284"/>
      <c r="G118" s="284"/>
      <c r="H118" s="284"/>
      <c r="L118" s="27"/>
    </row>
    <row r="119" spans="2:63" s="1" customFormat="1" ht="12" customHeight="1">
      <c r="B119" s="27"/>
      <c r="C119" s="24" t="s">
        <v>90</v>
      </c>
      <c r="L119" s="27"/>
    </row>
    <row r="120" spans="2:63" s="1" customFormat="1" ht="16.5" customHeight="1">
      <c r="B120" s="27"/>
      <c r="E120" s="270" t="str">
        <f>E9</f>
        <v>Objekt A - e - Zdravotní technika</v>
      </c>
      <c r="F120" s="285"/>
      <c r="G120" s="285"/>
      <c r="H120" s="285"/>
      <c r="L120" s="27"/>
    </row>
    <row r="121" spans="2:63" s="1" customFormat="1" ht="6.95" customHeight="1">
      <c r="B121" s="27"/>
      <c r="L121" s="27"/>
    </row>
    <row r="122" spans="2:63" s="1" customFormat="1" ht="12" customHeight="1">
      <c r="B122" s="27"/>
      <c r="C122" s="24" t="s">
        <v>18</v>
      </c>
      <c r="F122" s="22" t="str">
        <f>F12</f>
        <v>Jičín</v>
      </c>
      <c r="I122" s="24" t="s">
        <v>20</v>
      </c>
      <c r="J122" s="47" t="str">
        <f>IF(J12="","",J12)</f>
        <v>15. 3. 2022</v>
      </c>
      <c r="L122" s="27"/>
    </row>
    <row r="123" spans="2:63" s="1" customFormat="1" ht="6.95" customHeight="1">
      <c r="B123" s="27"/>
      <c r="L123" s="27"/>
    </row>
    <row r="124" spans="2:63" s="1" customFormat="1" ht="15.2" customHeight="1">
      <c r="B124" s="27"/>
      <c r="C124" s="24" t="s">
        <v>21</v>
      </c>
      <c r="F124" s="22" t="str">
        <f>E15</f>
        <v xml:space="preserve"> </v>
      </c>
      <c r="I124" s="24" t="s">
        <v>27</v>
      </c>
      <c r="J124" s="25" t="str">
        <f>E21</f>
        <v xml:space="preserve"> </v>
      </c>
      <c r="L124" s="27"/>
    </row>
    <row r="125" spans="2:63" s="1" customFormat="1" ht="15.2" customHeight="1">
      <c r="B125" s="27"/>
      <c r="C125" s="24" t="s">
        <v>25</v>
      </c>
      <c r="F125" s="22" t="str">
        <f>IF(E18="","",E18)</f>
        <v xml:space="preserve"> </v>
      </c>
      <c r="I125" s="24" t="s">
        <v>30</v>
      </c>
      <c r="J125" s="25" t="str">
        <f>E24</f>
        <v xml:space="preserve"> </v>
      </c>
      <c r="L125" s="27"/>
    </row>
    <row r="126" spans="2:63" s="1" customFormat="1" ht="10.35" customHeight="1">
      <c r="B126" s="27"/>
      <c r="L126" s="27"/>
    </row>
    <row r="127" spans="2:63" s="10" customFormat="1" ht="29.25" customHeight="1">
      <c r="B127" s="107"/>
      <c r="C127" s="108" t="s">
        <v>127</v>
      </c>
      <c r="D127" s="109" t="s">
        <v>58</v>
      </c>
      <c r="E127" s="109" t="s">
        <v>54</v>
      </c>
      <c r="F127" s="109" t="s">
        <v>55</v>
      </c>
      <c r="G127" s="109" t="s">
        <v>128</v>
      </c>
      <c r="H127" s="109" t="s">
        <v>129</v>
      </c>
      <c r="I127" s="109" t="s">
        <v>130</v>
      </c>
      <c r="J127" s="109" t="s">
        <v>94</v>
      </c>
      <c r="K127" s="110" t="s">
        <v>131</v>
      </c>
      <c r="L127" s="107"/>
      <c r="M127" s="54" t="s">
        <v>1</v>
      </c>
      <c r="N127" s="55" t="s">
        <v>37</v>
      </c>
      <c r="O127" s="55" t="s">
        <v>132</v>
      </c>
      <c r="P127" s="55" t="s">
        <v>133</v>
      </c>
      <c r="Q127" s="55" t="s">
        <v>134</v>
      </c>
      <c r="R127" s="55" t="s">
        <v>135</v>
      </c>
      <c r="S127" s="55" t="s">
        <v>136</v>
      </c>
      <c r="T127" s="56" t="s">
        <v>137</v>
      </c>
    </row>
    <row r="128" spans="2:63" s="1" customFormat="1" ht="22.9" customHeight="1">
      <c r="B128" s="27"/>
      <c r="C128" s="59" t="s">
        <v>138</v>
      </c>
      <c r="J128" s="111">
        <f>BK128</f>
        <v>1811762.55</v>
      </c>
      <c r="L128" s="27"/>
      <c r="M128" s="57"/>
      <c r="N128" s="48"/>
      <c r="O128" s="48"/>
      <c r="P128" s="112">
        <f>P129+P170+P269</f>
        <v>1019.7947709999997</v>
      </c>
      <c r="Q128" s="48"/>
      <c r="R128" s="112">
        <f>R129+R170+R269</f>
        <v>6.6275700000000004</v>
      </c>
      <c r="S128" s="48"/>
      <c r="T128" s="113">
        <f>T129+T170+T269</f>
        <v>0.15</v>
      </c>
      <c r="AT128" s="15" t="s">
        <v>72</v>
      </c>
      <c r="AU128" s="15" t="s">
        <v>96</v>
      </c>
      <c r="BK128" s="114">
        <f>BK129+BK170+BK269</f>
        <v>1811762.55</v>
      </c>
    </row>
    <row r="129" spans="2:65" s="11" customFormat="1" ht="25.9" customHeight="1">
      <c r="B129" s="115"/>
      <c r="D129" s="116" t="s">
        <v>72</v>
      </c>
      <c r="E129" s="117" t="s">
        <v>139</v>
      </c>
      <c r="F129" s="117" t="s">
        <v>139</v>
      </c>
      <c r="J129" s="118">
        <f>BK129</f>
        <v>548712.60000000009</v>
      </c>
      <c r="L129" s="115"/>
      <c r="M129" s="119"/>
      <c r="P129" s="120">
        <f>P130+SUM(P131:P153)+P157+P159</f>
        <v>127.94399999999999</v>
      </c>
      <c r="R129" s="120">
        <f>R130+SUM(R131:R153)+R157+R159</f>
        <v>2.2975899999999996</v>
      </c>
      <c r="T129" s="121">
        <f>T130+SUM(T131:T153)+T157+T159</f>
        <v>0.15</v>
      </c>
      <c r="AR129" s="116" t="s">
        <v>81</v>
      </c>
      <c r="AT129" s="122" t="s">
        <v>72</v>
      </c>
      <c r="AU129" s="122" t="s">
        <v>73</v>
      </c>
      <c r="AY129" s="116" t="s">
        <v>141</v>
      </c>
      <c r="BK129" s="123">
        <f>BK130+SUM(BK131:BK153)+BK157+BK159</f>
        <v>548712.60000000009</v>
      </c>
    </row>
    <row r="130" spans="2:65" s="1" customFormat="1" ht="44.25" customHeight="1">
      <c r="B130" s="126"/>
      <c r="C130" s="127" t="s">
        <v>81</v>
      </c>
      <c r="D130" s="127" t="s">
        <v>144</v>
      </c>
      <c r="E130" s="128" t="s">
        <v>2088</v>
      </c>
      <c r="F130" s="129" t="s">
        <v>2087</v>
      </c>
      <c r="G130" s="130" t="s">
        <v>162</v>
      </c>
      <c r="H130" s="131">
        <v>131</v>
      </c>
      <c r="I130" s="132">
        <v>768</v>
      </c>
      <c r="J130" s="132">
        <f>ROUND(I130*H130,2)</f>
        <v>100608</v>
      </c>
      <c r="K130" s="129" t="s">
        <v>1</v>
      </c>
      <c r="L130" s="27"/>
      <c r="M130" s="133" t="s">
        <v>1</v>
      </c>
      <c r="N130" s="134" t="s">
        <v>39</v>
      </c>
      <c r="O130" s="135">
        <v>0</v>
      </c>
      <c r="P130" s="135">
        <f>O130*H130</f>
        <v>0</v>
      </c>
      <c r="Q130" s="135">
        <v>0</v>
      </c>
      <c r="R130" s="135">
        <f>Q130*H130</f>
        <v>0</v>
      </c>
      <c r="S130" s="135">
        <v>0</v>
      </c>
      <c r="T130" s="136">
        <f>S130*H130</f>
        <v>0</v>
      </c>
      <c r="AR130" s="137" t="s">
        <v>149</v>
      </c>
      <c r="AT130" s="137" t="s">
        <v>144</v>
      </c>
      <c r="AU130" s="137" t="s">
        <v>81</v>
      </c>
      <c r="AY130" s="15" t="s">
        <v>141</v>
      </c>
      <c r="BE130" s="138">
        <f>IF(N130="základní",J130,0)</f>
        <v>0</v>
      </c>
      <c r="BF130" s="138">
        <f>IF(N130="snížená",J130,0)</f>
        <v>100608</v>
      </c>
      <c r="BG130" s="138">
        <f>IF(N130="zákl. přenesená",J130,0)</f>
        <v>0</v>
      </c>
      <c r="BH130" s="138">
        <f>IF(N130="sníž. přenesená",J130,0)</f>
        <v>0</v>
      </c>
      <c r="BI130" s="138">
        <f>IF(N130="nulová",J130,0)</f>
        <v>0</v>
      </c>
      <c r="BJ130" s="15" t="s">
        <v>143</v>
      </c>
      <c r="BK130" s="138">
        <f>ROUND(I130*H130,2)</f>
        <v>100608</v>
      </c>
      <c r="BL130" s="15" t="s">
        <v>149</v>
      </c>
      <c r="BM130" s="137" t="s">
        <v>2086</v>
      </c>
    </row>
    <row r="131" spans="2:65" s="12" customFormat="1">
      <c r="B131" s="148"/>
      <c r="D131" s="149" t="s">
        <v>363</v>
      </c>
      <c r="E131" s="154" t="s">
        <v>1</v>
      </c>
      <c r="F131" s="150" t="s">
        <v>2085</v>
      </c>
      <c r="H131" s="151">
        <v>36</v>
      </c>
      <c r="L131" s="148"/>
      <c r="M131" s="152"/>
      <c r="T131" s="153"/>
      <c r="AT131" s="154" t="s">
        <v>363</v>
      </c>
      <c r="AU131" s="154" t="s">
        <v>81</v>
      </c>
      <c r="AV131" s="12" t="s">
        <v>143</v>
      </c>
      <c r="AW131" s="12" t="s">
        <v>29</v>
      </c>
      <c r="AX131" s="12" t="s">
        <v>73</v>
      </c>
      <c r="AY131" s="154" t="s">
        <v>141</v>
      </c>
    </row>
    <row r="132" spans="2:65" s="12" customFormat="1">
      <c r="B132" s="148"/>
      <c r="D132" s="149" t="s">
        <v>363</v>
      </c>
      <c r="E132" s="154" t="s">
        <v>1</v>
      </c>
      <c r="F132" s="150" t="s">
        <v>2084</v>
      </c>
      <c r="H132" s="151">
        <v>95</v>
      </c>
      <c r="L132" s="148"/>
      <c r="M132" s="152"/>
      <c r="T132" s="153"/>
      <c r="AT132" s="154" t="s">
        <v>363</v>
      </c>
      <c r="AU132" s="154" t="s">
        <v>81</v>
      </c>
      <c r="AV132" s="12" t="s">
        <v>143</v>
      </c>
      <c r="AW132" s="12" t="s">
        <v>29</v>
      </c>
      <c r="AX132" s="12" t="s">
        <v>73</v>
      </c>
      <c r="AY132" s="154" t="s">
        <v>141</v>
      </c>
    </row>
    <row r="133" spans="2:65" s="13" customFormat="1">
      <c r="B133" s="159"/>
      <c r="D133" s="149" t="s">
        <v>363</v>
      </c>
      <c r="E133" s="160" t="s">
        <v>1</v>
      </c>
      <c r="F133" s="161" t="s">
        <v>1223</v>
      </c>
      <c r="H133" s="162">
        <v>131</v>
      </c>
      <c r="L133" s="159"/>
      <c r="M133" s="163"/>
      <c r="T133" s="164"/>
      <c r="AT133" s="160" t="s">
        <v>363</v>
      </c>
      <c r="AU133" s="160" t="s">
        <v>81</v>
      </c>
      <c r="AV133" s="13" t="s">
        <v>149</v>
      </c>
      <c r="AW133" s="13" t="s">
        <v>29</v>
      </c>
      <c r="AX133" s="13" t="s">
        <v>81</v>
      </c>
      <c r="AY133" s="160" t="s">
        <v>141</v>
      </c>
    </row>
    <row r="134" spans="2:65" s="1" customFormat="1" ht="37.9" customHeight="1">
      <c r="B134" s="126"/>
      <c r="C134" s="127" t="s">
        <v>143</v>
      </c>
      <c r="D134" s="127" t="s">
        <v>144</v>
      </c>
      <c r="E134" s="128" t="s">
        <v>2083</v>
      </c>
      <c r="F134" s="129" t="s">
        <v>2082</v>
      </c>
      <c r="G134" s="130" t="s">
        <v>162</v>
      </c>
      <c r="H134" s="131">
        <v>11</v>
      </c>
      <c r="I134" s="132">
        <v>546</v>
      </c>
      <c r="J134" s="132">
        <f>ROUND(I134*H134,2)</f>
        <v>6006</v>
      </c>
      <c r="K134" s="129" t="s">
        <v>1</v>
      </c>
      <c r="L134" s="27"/>
      <c r="M134" s="133" t="s">
        <v>1</v>
      </c>
      <c r="N134" s="134" t="s">
        <v>39</v>
      </c>
      <c r="O134" s="135">
        <v>0</v>
      </c>
      <c r="P134" s="135">
        <f>O134*H134</f>
        <v>0</v>
      </c>
      <c r="Q134" s="135">
        <v>0</v>
      </c>
      <c r="R134" s="135">
        <f>Q134*H134</f>
        <v>0</v>
      </c>
      <c r="S134" s="135">
        <v>0</v>
      </c>
      <c r="T134" s="136">
        <f>S134*H134</f>
        <v>0</v>
      </c>
      <c r="AR134" s="137" t="s">
        <v>149</v>
      </c>
      <c r="AT134" s="137" t="s">
        <v>144</v>
      </c>
      <c r="AU134" s="137" t="s">
        <v>81</v>
      </c>
      <c r="AY134" s="15" t="s">
        <v>141</v>
      </c>
      <c r="BE134" s="138">
        <f>IF(N134="základní",J134,0)</f>
        <v>0</v>
      </c>
      <c r="BF134" s="138">
        <f>IF(N134="snížená",J134,0)</f>
        <v>6006</v>
      </c>
      <c r="BG134" s="138">
        <f>IF(N134="zákl. přenesená",J134,0)</f>
        <v>0</v>
      </c>
      <c r="BH134" s="138">
        <f>IF(N134="sníž. přenesená",J134,0)</f>
        <v>0</v>
      </c>
      <c r="BI134" s="138">
        <f>IF(N134="nulová",J134,0)</f>
        <v>0</v>
      </c>
      <c r="BJ134" s="15" t="s">
        <v>143</v>
      </c>
      <c r="BK134" s="138">
        <f>ROUND(I134*H134,2)</f>
        <v>6006</v>
      </c>
      <c r="BL134" s="15" t="s">
        <v>149</v>
      </c>
      <c r="BM134" s="137" t="s">
        <v>2081</v>
      </c>
    </row>
    <row r="135" spans="2:65" s="167" customFormat="1" ht="22.5">
      <c r="B135" s="171"/>
      <c r="D135" s="149" t="s">
        <v>363</v>
      </c>
      <c r="E135" s="168" t="s">
        <v>1</v>
      </c>
      <c r="F135" s="172" t="s">
        <v>2080</v>
      </c>
      <c r="H135" s="168" t="s">
        <v>1</v>
      </c>
      <c r="L135" s="171"/>
      <c r="M135" s="170"/>
      <c r="T135" s="169"/>
      <c r="AT135" s="168" t="s">
        <v>363</v>
      </c>
      <c r="AU135" s="168" t="s">
        <v>81</v>
      </c>
      <c r="AV135" s="167" t="s">
        <v>81</v>
      </c>
      <c r="AW135" s="167" t="s">
        <v>29</v>
      </c>
      <c r="AX135" s="167" t="s">
        <v>73</v>
      </c>
      <c r="AY135" s="168" t="s">
        <v>141</v>
      </c>
    </row>
    <row r="136" spans="2:65" s="12" customFormat="1">
      <c r="B136" s="148"/>
      <c r="D136" s="149" t="s">
        <v>363</v>
      </c>
      <c r="E136" s="154" t="s">
        <v>1</v>
      </c>
      <c r="F136" s="150" t="s">
        <v>2079</v>
      </c>
      <c r="H136" s="151">
        <v>11</v>
      </c>
      <c r="L136" s="148"/>
      <c r="M136" s="152"/>
      <c r="T136" s="153"/>
      <c r="AT136" s="154" t="s">
        <v>363</v>
      </c>
      <c r="AU136" s="154" t="s">
        <v>81</v>
      </c>
      <c r="AV136" s="12" t="s">
        <v>143</v>
      </c>
      <c r="AW136" s="12" t="s">
        <v>29</v>
      </c>
      <c r="AX136" s="12" t="s">
        <v>81</v>
      </c>
      <c r="AY136" s="154" t="s">
        <v>141</v>
      </c>
    </row>
    <row r="137" spans="2:65" s="1" customFormat="1" ht="62.65" customHeight="1">
      <c r="B137" s="126"/>
      <c r="C137" s="127" t="s">
        <v>151</v>
      </c>
      <c r="D137" s="127" t="s">
        <v>144</v>
      </c>
      <c r="E137" s="128" t="s">
        <v>2078</v>
      </c>
      <c r="F137" s="129" t="s">
        <v>2077</v>
      </c>
      <c r="G137" s="130" t="s">
        <v>162</v>
      </c>
      <c r="H137" s="131">
        <v>38</v>
      </c>
      <c r="I137" s="132">
        <v>44.6</v>
      </c>
      <c r="J137" s="132">
        <f>ROUND(I137*H137,2)</f>
        <v>1694.8</v>
      </c>
      <c r="K137" s="129" t="s">
        <v>1</v>
      </c>
      <c r="L137" s="27"/>
      <c r="M137" s="133" t="s">
        <v>1</v>
      </c>
      <c r="N137" s="134" t="s">
        <v>39</v>
      </c>
      <c r="O137" s="135">
        <v>0</v>
      </c>
      <c r="P137" s="135">
        <f>O137*H137</f>
        <v>0</v>
      </c>
      <c r="Q137" s="135">
        <v>0</v>
      </c>
      <c r="R137" s="135">
        <f>Q137*H137</f>
        <v>0</v>
      </c>
      <c r="S137" s="135">
        <v>0</v>
      </c>
      <c r="T137" s="136">
        <f>S137*H137</f>
        <v>0</v>
      </c>
      <c r="AR137" s="137" t="s">
        <v>149</v>
      </c>
      <c r="AT137" s="137" t="s">
        <v>144</v>
      </c>
      <c r="AU137" s="137" t="s">
        <v>81</v>
      </c>
      <c r="AY137" s="15" t="s">
        <v>141</v>
      </c>
      <c r="BE137" s="138">
        <f>IF(N137="základní",J137,0)</f>
        <v>0</v>
      </c>
      <c r="BF137" s="138">
        <f>IF(N137="snížená",J137,0)</f>
        <v>1694.8</v>
      </c>
      <c r="BG137" s="138">
        <f>IF(N137="zákl. přenesená",J137,0)</f>
        <v>0</v>
      </c>
      <c r="BH137" s="138">
        <f>IF(N137="sníž. přenesená",J137,0)</f>
        <v>0</v>
      </c>
      <c r="BI137" s="138">
        <f>IF(N137="nulová",J137,0)</f>
        <v>0</v>
      </c>
      <c r="BJ137" s="15" t="s">
        <v>143</v>
      </c>
      <c r="BK137" s="138">
        <f>ROUND(I137*H137,2)</f>
        <v>1694.8</v>
      </c>
      <c r="BL137" s="15" t="s">
        <v>149</v>
      </c>
      <c r="BM137" s="137" t="s">
        <v>2076</v>
      </c>
    </row>
    <row r="138" spans="2:65" s="12" customFormat="1" ht="22.5">
      <c r="B138" s="148"/>
      <c r="D138" s="149" t="s">
        <v>363</v>
      </c>
      <c r="E138" s="154" t="s">
        <v>1</v>
      </c>
      <c r="F138" s="150" t="s">
        <v>2075</v>
      </c>
      <c r="H138" s="151">
        <v>38</v>
      </c>
      <c r="L138" s="148"/>
      <c r="M138" s="152"/>
      <c r="T138" s="153"/>
      <c r="AT138" s="154" t="s">
        <v>363</v>
      </c>
      <c r="AU138" s="154" t="s">
        <v>81</v>
      </c>
      <c r="AV138" s="12" t="s">
        <v>143</v>
      </c>
      <c r="AW138" s="12" t="s">
        <v>29</v>
      </c>
      <c r="AX138" s="12" t="s">
        <v>81</v>
      </c>
      <c r="AY138" s="154" t="s">
        <v>141</v>
      </c>
    </row>
    <row r="139" spans="2:65" s="1" customFormat="1" ht="62.65" customHeight="1">
      <c r="B139" s="126"/>
      <c r="C139" s="127" t="s">
        <v>149</v>
      </c>
      <c r="D139" s="127" t="s">
        <v>144</v>
      </c>
      <c r="E139" s="128" t="s">
        <v>169</v>
      </c>
      <c r="F139" s="129" t="s">
        <v>2074</v>
      </c>
      <c r="G139" s="130" t="s">
        <v>162</v>
      </c>
      <c r="H139" s="131">
        <v>93</v>
      </c>
      <c r="I139" s="132">
        <v>44.6</v>
      </c>
      <c r="J139" s="132">
        <f>ROUND(I139*H139,2)</f>
        <v>4147.8</v>
      </c>
      <c r="K139" s="129" t="s">
        <v>1</v>
      </c>
      <c r="L139" s="27"/>
      <c r="M139" s="133" t="s">
        <v>1</v>
      </c>
      <c r="N139" s="134" t="s">
        <v>39</v>
      </c>
      <c r="O139" s="135">
        <v>0</v>
      </c>
      <c r="P139" s="135">
        <f>O139*H139</f>
        <v>0</v>
      </c>
      <c r="Q139" s="135">
        <v>0</v>
      </c>
      <c r="R139" s="135">
        <f>Q139*H139</f>
        <v>0</v>
      </c>
      <c r="S139" s="135">
        <v>0</v>
      </c>
      <c r="T139" s="136">
        <f>S139*H139</f>
        <v>0</v>
      </c>
      <c r="AR139" s="137" t="s">
        <v>149</v>
      </c>
      <c r="AT139" s="137" t="s">
        <v>144</v>
      </c>
      <c r="AU139" s="137" t="s">
        <v>81</v>
      </c>
      <c r="AY139" s="15" t="s">
        <v>141</v>
      </c>
      <c r="BE139" s="138">
        <f>IF(N139="základní",J139,0)</f>
        <v>0</v>
      </c>
      <c r="BF139" s="138">
        <f>IF(N139="snížená",J139,0)</f>
        <v>4147.8</v>
      </c>
      <c r="BG139" s="138">
        <f>IF(N139="zákl. přenesená",J139,0)</f>
        <v>0</v>
      </c>
      <c r="BH139" s="138">
        <f>IF(N139="sníž. přenesená",J139,0)</f>
        <v>0</v>
      </c>
      <c r="BI139" s="138">
        <f>IF(N139="nulová",J139,0)</f>
        <v>0</v>
      </c>
      <c r="BJ139" s="15" t="s">
        <v>143</v>
      </c>
      <c r="BK139" s="138">
        <f>ROUND(I139*H139,2)</f>
        <v>4147.8</v>
      </c>
      <c r="BL139" s="15" t="s">
        <v>149</v>
      </c>
      <c r="BM139" s="137" t="s">
        <v>2073</v>
      </c>
    </row>
    <row r="140" spans="2:65" s="167" customFormat="1" ht="22.5">
      <c r="B140" s="171"/>
      <c r="D140" s="149" t="s">
        <v>363</v>
      </c>
      <c r="E140" s="168" t="s">
        <v>1</v>
      </c>
      <c r="F140" s="172" t="s">
        <v>2072</v>
      </c>
      <c r="H140" s="168" t="s">
        <v>1</v>
      </c>
      <c r="L140" s="171"/>
      <c r="M140" s="170"/>
      <c r="T140" s="169"/>
      <c r="AT140" s="168" t="s">
        <v>363</v>
      </c>
      <c r="AU140" s="168" t="s">
        <v>81</v>
      </c>
      <c r="AV140" s="167" t="s">
        <v>81</v>
      </c>
      <c r="AW140" s="167" t="s">
        <v>29</v>
      </c>
      <c r="AX140" s="167" t="s">
        <v>73</v>
      </c>
      <c r="AY140" s="168" t="s">
        <v>141</v>
      </c>
    </row>
    <row r="141" spans="2:65" s="12" customFormat="1">
      <c r="B141" s="148"/>
      <c r="D141" s="149" t="s">
        <v>363</v>
      </c>
      <c r="E141" s="154" t="s">
        <v>1</v>
      </c>
      <c r="F141" s="150" t="s">
        <v>2071</v>
      </c>
      <c r="H141" s="151">
        <v>131</v>
      </c>
      <c r="L141" s="148"/>
      <c r="M141" s="152"/>
      <c r="T141" s="153"/>
      <c r="AT141" s="154" t="s">
        <v>363</v>
      </c>
      <c r="AU141" s="154" t="s">
        <v>81</v>
      </c>
      <c r="AV141" s="12" t="s">
        <v>143</v>
      </c>
      <c r="AW141" s="12" t="s">
        <v>29</v>
      </c>
      <c r="AX141" s="12" t="s">
        <v>73</v>
      </c>
      <c r="AY141" s="154" t="s">
        <v>141</v>
      </c>
    </row>
    <row r="142" spans="2:65" s="12" customFormat="1">
      <c r="B142" s="148"/>
      <c r="D142" s="149" t="s">
        <v>363</v>
      </c>
      <c r="E142" s="154" t="s">
        <v>1</v>
      </c>
      <c r="F142" s="150" t="s">
        <v>2070</v>
      </c>
      <c r="H142" s="151">
        <v>-38</v>
      </c>
      <c r="L142" s="148"/>
      <c r="M142" s="152"/>
      <c r="T142" s="153"/>
      <c r="AT142" s="154" t="s">
        <v>363</v>
      </c>
      <c r="AU142" s="154" t="s">
        <v>81</v>
      </c>
      <c r="AV142" s="12" t="s">
        <v>143</v>
      </c>
      <c r="AW142" s="12" t="s">
        <v>29</v>
      </c>
      <c r="AX142" s="12" t="s">
        <v>73</v>
      </c>
      <c r="AY142" s="154" t="s">
        <v>141</v>
      </c>
    </row>
    <row r="143" spans="2:65" s="13" customFormat="1">
      <c r="B143" s="159"/>
      <c r="D143" s="149" t="s">
        <v>363</v>
      </c>
      <c r="E143" s="160" t="s">
        <v>1</v>
      </c>
      <c r="F143" s="161" t="s">
        <v>1223</v>
      </c>
      <c r="H143" s="162">
        <v>93</v>
      </c>
      <c r="L143" s="159"/>
      <c r="M143" s="163"/>
      <c r="T143" s="164"/>
      <c r="AT143" s="160" t="s">
        <v>363</v>
      </c>
      <c r="AU143" s="160" t="s">
        <v>81</v>
      </c>
      <c r="AV143" s="13" t="s">
        <v>149</v>
      </c>
      <c r="AW143" s="13" t="s">
        <v>29</v>
      </c>
      <c r="AX143" s="13" t="s">
        <v>81</v>
      </c>
      <c r="AY143" s="160" t="s">
        <v>141</v>
      </c>
    </row>
    <row r="144" spans="2:65" s="1" customFormat="1" ht="44.25" customHeight="1">
      <c r="B144" s="126"/>
      <c r="C144" s="127" t="s">
        <v>159</v>
      </c>
      <c r="D144" s="127" t="s">
        <v>144</v>
      </c>
      <c r="E144" s="128" t="s">
        <v>2069</v>
      </c>
      <c r="F144" s="129" t="s">
        <v>2068</v>
      </c>
      <c r="G144" s="130" t="s">
        <v>162</v>
      </c>
      <c r="H144" s="131">
        <v>38</v>
      </c>
      <c r="I144" s="132">
        <v>154</v>
      </c>
      <c r="J144" s="132">
        <f>ROUND(I144*H144,2)</f>
        <v>5852</v>
      </c>
      <c r="K144" s="129" t="s">
        <v>1</v>
      </c>
      <c r="L144" s="27"/>
      <c r="M144" s="133" t="s">
        <v>1</v>
      </c>
      <c r="N144" s="134" t="s">
        <v>39</v>
      </c>
      <c r="O144" s="135">
        <v>0</v>
      </c>
      <c r="P144" s="135">
        <f>O144*H144</f>
        <v>0</v>
      </c>
      <c r="Q144" s="135">
        <v>0</v>
      </c>
      <c r="R144" s="135">
        <f>Q144*H144</f>
        <v>0</v>
      </c>
      <c r="S144" s="135">
        <v>0</v>
      </c>
      <c r="T144" s="136">
        <f>S144*H144</f>
        <v>0</v>
      </c>
      <c r="AR144" s="137" t="s">
        <v>149</v>
      </c>
      <c r="AT144" s="137" t="s">
        <v>144</v>
      </c>
      <c r="AU144" s="137" t="s">
        <v>81</v>
      </c>
      <c r="AY144" s="15" t="s">
        <v>141</v>
      </c>
      <c r="BE144" s="138">
        <f>IF(N144="základní",J144,0)</f>
        <v>0</v>
      </c>
      <c r="BF144" s="138">
        <f>IF(N144="snížená",J144,0)</f>
        <v>5852</v>
      </c>
      <c r="BG144" s="138">
        <f>IF(N144="zákl. přenesená",J144,0)</f>
        <v>0</v>
      </c>
      <c r="BH144" s="138">
        <f>IF(N144="sníž. přenesená",J144,0)</f>
        <v>0</v>
      </c>
      <c r="BI144" s="138">
        <f>IF(N144="nulová",J144,0)</f>
        <v>0</v>
      </c>
      <c r="BJ144" s="15" t="s">
        <v>143</v>
      </c>
      <c r="BK144" s="138">
        <f>ROUND(I144*H144,2)</f>
        <v>5852</v>
      </c>
      <c r="BL144" s="15" t="s">
        <v>149</v>
      </c>
      <c r="BM144" s="137" t="s">
        <v>2067</v>
      </c>
    </row>
    <row r="145" spans="2:65" s="12" customFormat="1" ht="22.5">
      <c r="B145" s="148"/>
      <c r="D145" s="149" t="s">
        <v>363</v>
      </c>
      <c r="E145" s="154" t="s">
        <v>1</v>
      </c>
      <c r="F145" s="150" t="s">
        <v>2066</v>
      </c>
      <c r="H145" s="151">
        <v>38</v>
      </c>
      <c r="L145" s="148"/>
      <c r="M145" s="152"/>
      <c r="T145" s="153"/>
      <c r="AT145" s="154" t="s">
        <v>363</v>
      </c>
      <c r="AU145" s="154" t="s">
        <v>81</v>
      </c>
      <c r="AV145" s="12" t="s">
        <v>143</v>
      </c>
      <c r="AW145" s="12" t="s">
        <v>29</v>
      </c>
      <c r="AX145" s="12" t="s">
        <v>81</v>
      </c>
      <c r="AY145" s="154" t="s">
        <v>141</v>
      </c>
    </row>
    <row r="146" spans="2:65" s="1" customFormat="1" ht="44.25" customHeight="1">
      <c r="B146" s="126"/>
      <c r="C146" s="127" t="s">
        <v>164</v>
      </c>
      <c r="D146" s="127" t="s">
        <v>144</v>
      </c>
      <c r="E146" s="128" t="s">
        <v>2065</v>
      </c>
      <c r="F146" s="129" t="s">
        <v>2064</v>
      </c>
      <c r="G146" s="130" t="s">
        <v>179</v>
      </c>
      <c r="H146" s="131">
        <v>167.4</v>
      </c>
      <c r="I146" s="132">
        <v>294</v>
      </c>
      <c r="J146" s="132">
        <f>ROUND(I146*H146,2)</f>
        <v>49215.6</v>
      </c>
      <c r="K146" s="129" t="s">
        <v>1</v>
      </c>
      <c r="L146" s="27"/>
      <c r="M146" s="133" t="s">
        <v>1</v>
      </c>
      <c r="N146" s="134" t="s">
        <v>39</v>
      </c>
      <c r="O146" s="135">
        <v>0</v>
      </c>
      <c r="P146" s="135">
        <f>O146*H146</f>
        <v>0</v>
      </c>
      <c r="Q146" s="135">
        <v>0</v>
      </c>
      <c r="R146" s="135">
        <f>Q146*H146</f>
        <v>0</v>
      </c>
      <c r="S146" s="135">
        <v>0</v>
      </c>
      <c r="T146" s="136">
        <f>S146*H146</f>
        <v>0</v>
      </c>
      <c r="AR146" s="137" t="s">
        <v>149</v>
      </c>
      <c r="AT146" s="137" t="s">
        <v>144</v>
      </c>
      <c r="AU146" s="137" t="s">
        <v>81</v>
      </c>
      <c r="AY146" s="15" t="s">
        <v>141</v>
      </c>
      <c r="BE146" s="138">
        <f>IF(N146="základní",J146,0)</f>
        <v>0</v>
      </c>
      <c r="BF146" s="138">
        <f>IF(N146="snížená",J146,0)</f>
        <v>49215.6</v>
      </c>
      <c r="BG146" s="138">
        <f>IF(N146="zákl. přenesená",J146,0)</f>
        <v>0</v>
      </c>
      <c r="BH146" s="138">
        <f>IF(N146="sníž. přenesená",J146,0)</f>
        <v>0</v>
      </c>
      <c r="BI146" s="138">
        <f>IF(N146="nulová",J146,0)</f>
        <v>0</v>
      </c>
      <c r="BJ146" s="15" t="s">
        <v>143</v>
      </c>
      <c r="BK146" s="138">
        <f>ROUND(I146*H146,2)</f>
        <v>49215.6</v>
      </c>
      <c r="BL146" s="15" t="s">
        <v>149</v>
      </c>
      <c r="BM146" s="137" t="s">
        <v>2063</v>
      </c>
    </row>
    <row r="147" spans="2:65" s="12" customFormat="1" ht="22.5">
      <c r="B147" s="148"/>
      <c r="D147" s="149" t="s">
        <v>363</v>
      </c>
      <c r="E147" s="154" t="s">
        <v>1</v>
      </c>
      <c r="F147" s="150" t="s">
        <v>2062</v>
      </c>
      <c r="H147" s="151">
        <v>167.4</v>
      </c>
      <c r="L147" s="148"/>
      <c r="M147" s="152"/>
      <c r="T147" s="153"/>
      <c r="AT147" s="154" t="s">
        <v>363</v>
      </c>
      <c r="AU147" s="154" t="s">
        <v>81</v>
      </c>
      <c r="AV147" s="12" t="s">
        <v>143</v>
      </c>
      <c r="AW147" s="12" t="s">
        <v>29</v>
      </c>
      <c r="AX147" s="12" t="s">
        <v>81</v>
      </c>
      <c r="AY147" s="154" t="s">
        <v>141</v>
      </c>
    </row>
    <row r="148" spans="2:65" s="1" customFormat="1" ht="44.25" customHeight="1">
      <c r="B148" s="126"/>
      <c r="C148" s="127" t="s">
        <v>168</v>
      </c>
      <c r="D148" s="127" t="s">
        <v>144</v>
      </c>
      <c r="E148" s="128" t="s">
        <v>2061</v>
      </c>
      <c r="F148" s="129" t="s">
        <v>2060</v>
      </c>
      <c r="G148" s="130" t="s">
        <v>162</v>
      </c>
      <c r="H148" s="131">
        <v>93</v>
      </c>
      <c r="I148" s="132">
        <v>143</v>
      </c>
      <c r="J148" s="132">
        <f>ROUND(I148*H148,2)</f>
        <v>13299</v>
      </c>
      <c r="K148" s="129" t="s">
        <v>1</v>
      </c>
      <c r="L148" s="27"/>
      <c r="M148" s="133" t="s">
        <v>1</v>
      </c>
      <c r="N148" s="134" t="s">
        <v>39</v>
      </c>
      <c r="O148" s="135">
        <v>0</v>
      </c>
      <c r="P148" s="135">
        <f>O148*H148</f>
        <v>0</v>
      </c>
      <c r="Q148" s="135">
        <v>0</v>
      </c>
      <c r="R148" s="135">
        <f>Q148*H148</f>
        <v>0</v>
      </c>
      <c r="S148" s="135">
        <v>0</v>
      </c>
      <c r="T148" s="136">
        <f>S148*H148</f>
        <v>0</v>
      </c>
      <c r="AR148" s="137" t="s">
        <v>149</v>
      </c>
      <c r="AT148" s="137" t="s">
        <v>144</v>
      </c>
      <c r="AU148" s="137" t="s">
        <v>81</v>
      </c>
      <c r="AY148" s="15" t="s">
        <v>141</v>
      </c>
      <c r="BE148" s="138">
        <f>IF(N148="základní",J148,0)</f>
        <v>0</v>
      </c>
      <c r="BF148" s="138">
        <f>IF(N148="snížená",J148,0)</f>
        <v>13299</v>
      </c>
      <c r="BG148" s="138">
        <f>IF(N148="zákl. přenesená",J148,0)</f>
        <v>0</v>
      </c>
      <c r="BH148" s="138">
        <f>IF(N148="sníž. přenesená",J148,0)</f>
        <v>0</v>
      </c>
      <c r="BI148" s="138">
        <f>IF(N148="nulová",J148,0)</f>
        <v>0</v>
      </c>
      <c r="BJ148" s="15" t="s">
        <v>143</v>
      </c>
      <c r="BK148" s="138">
        <f>ROUND(I148*H148,2)</f>
        <v>13299</v>
      </c>
      <c r="BL148" s="15" t="s">
        <v>149</v>
      </c>
      <c r="BM148" s="137" t="s">
        <v>2059</v>
      </c>
    </row>
    <row r="149" spans="2:65" s="167" customFormat="1" ht="22.5">
      <c r="B149" s="171"/>
      <c r="D149" s="149" t="s">
        <v>363</v>
      </c>
      <c r="E149" s="168" t="s">
        <v>1</v>
      </c>
      <c r="F149" s="172" t="s">
        <v>2058</v>
      </c>
      <c r="H149" s="168" t="s">
        <v>1</v>
      </c>
      <c r="L149" s="171"/>
      <c r="M149" s="170"/>
      <c r="T149" s="169"/>
      <c r="AT149" s="168" t="s">
        <v>363</v>
      </c>
      <c r="AU149" s="168" t="s">
        <v>81</v>
      </c>
      <c r="AV149" s="167" t="s">
        <v>81</v>
      </c>
      <c r="AW149" s="167" t="s">
        <v>29</v>
      </c>
      <c r="AX149" s="167" t="s">
        <v>73</v>
      </c>
      <c r="AY149" s="168" t="s">
        <v>141</v>
      </c>
    </row>
    <row r="150" spans="2:65" s="12" customFormat="1">
      <c r="B150" s="148"/>
      <c r="D150" s="149" t="s">
        <v>363</v>
      </c>
      <c r="E150" s="154" t="s">
        <v>1</v>
      </c>
      <c r="F150" s="150" t="s">
        <v>2057</v>
      </c>
      <c r="H150" s="151">
        <v>131</v>
      </c>
      <c r="L150" s="148"/>
      <c r="M150" s="152"/>
      <c r="T150" s="153"/>
      <c r="AT150" s="154" t="s">
        <v>363</v>
      </c>
      <c r="AU150" s="154" t="s">
        <v>81</v>
      </c>
      <c r="AV150" s="12" t="s">
        <v>143</v>
      </c>
      <c r="AW150" s="12" t="s">
        <v>29</v>
      </c>
      <c r="AX150" s="12" t="s">
        <v>73</v>
      </c>
      <c r="AY150" s="154" t="s">
        <v>141</v>
      </c>
    </row>
    <row r="151" spans="2:65" s="12" customFormat="1" ht="22.5">
      <c r="B151" s="148"/>
      <c r="D151" s="149" t="s">
        <v>363</v>
      </c>
      <c r="E151" s="154" t="s">
        <v>1</v>
      </c>
      <c r="F151" s="150" t="s">
        <v>2056</v>
      </c>
      <c r="H151" s="151">
        <v>-38</v>
      </c>
      <c r="L151" s="148"/>
      <c r="M151" s="152"/>
      <c r="T151" s="153"/>
      <c r="AT151" s="154" t="s">
        <v>363</v>
      </c>
      <c r="AU151" s="154" t="s">
        <v>81</v>
      </c>
      <c r="AV151" s="12" t="s">
        <v>143</v>
      </c>
      <c r="AW151" s="12" t="s">
        <v>29</v>
      </c>
      <c r="AX151" s="12" t="s">
        <v>73</v>
      </c>
      <c r="AY151" s="154" t="s">
        <v>141</v>
      </c>
    </row>
    <row r="152" spans="2:65" s="13" customFormat="1">
      <c r="B152" s="159"/>
      <c r="D152" s="149" t="s">
        <v>363</v>
      </c>
      <c r="E152" s="160" t="s">
        <v>1</v>
      </c>
      <c r="F152" s="161" t="s">
        <v>1223</v>
      </c>
      <c r="H152" s="162">
        <v>93</v>
      </c>
      <c r="L152" s="159"/>
      <c r="M152" s="163"/>
      <c r="T152" s="164"/>
      <c r="AT152" s="160" t="s">
        <v>363</v>
      </c>
      <c r="AU152" s="160" t="s">
        <v>81</v>
      </c>
      <c r="AV152" s="13" t="s">
        <v>149</v>
      </c>
      <c r="AW152" s="13" t="s">
        <v>29</v>
      </c>
      <c r="AX152" s="13" t="s">
        <v>81</v>
      </c>
      <c r="AY152" s="160" t="s">
        <v>141</v>
      </c>
    </row>
    <row r="153" spans="2:65" s="11" customFormat="1" ht="22.9" customHeight="1">
      <c r="B153" s="115"/>
      <c r="D153" s="116" t="s">
        <v>72</v>
      </c>
      <c r="E153" s="124" t="s">
        <v>149</v>
      </c>
      <c r="F153" s="124" t="s">
        <v>269</v>
      </c>
      <c r="J153" s="125">
        <f>BK153</f>
        <v>57646</v>
      </c>
      <c r="L153" s="115"/>
      <c r="M153" s="119"/>
      <c r="P153" s="120">
        <f>SUM(P154:P156)</f>
        <v>4.37</v>
      </c>
      <c r="R153" s="120">
        <f>SUM(R154:R156)</f>
        <v>1.3299999999999999E-2</v>
      </c>
      <c r="T153" s="121">
        <f>SUM(T154:T156)</f>
        <v>0</v>
      </c>
      <c r="AR153" s="116" t="s">
        <v>81</v>
      </c>
      <c r="AT153" s="122" t="s">
        <v>72</v>
      </c>
      <c r="AU153" s="122" t="s">
        <v>81</v>
      </c>
      <c r="AY153" s="116" t="s">
        <v>141</v>
      </c>
      <c r="BK153" s="123">
        <f>SUM(BK154:BK156)</f>
        <v>57646</v>
      </c>
    </row>
    <row r="154" spans="2:65" s="1" customFormat="1" ht="24.2" customHeight="1">
      <c r="B154" s="126"/>
      <c r="C154" s="127" t="s">
        <v>172</v>
      </c>
      <c r="D154" s="127" t="s">
        <v>144</v>
      </c>
      <c r="E154" s="128" t="s">
        <v>2055</v>
      </c>
      <c r="F154" s="129" t="s">
        <v>2054</v>
      </c>
      <c r="G154" s="130" t="s">
        <v>162</v>
      </c>
      <c r="H154" s="131">
        <v>38</v>
      </c>
      <c r="I154" s="132">
        <v>1452</v>
      </c>
      <c r="J154" s="132">
        <f>ROUND(I154*H154,2)</f>
        <v>55176</v>
      </c>
      <c r="K154" s="129" t="s">
        <v>1</v>
      </c>
      <c r="L154" s="27"/>
      <c r="M154" s="133" t="s">
        <v>1</v>
      </c>
      <c r="N154" s="134" t="s">
        <v>39</v>
      </c>
      <c r="O154" s="135">
        <v>0</v>
      </c>
      <c r="P154" s="135">
        <f>O154*H154</f>
        <v>0</v>
      </c>
      <c r="Q154" s="135">
        <v>0</v>
      </c>
      <c r="R154" s="135">
        <f>Q154*H154</f>
        <v>0</v>
      </c>
      <c r="S154" s="135">
        <v>0</v>
      </c>
      <c r="T154" s="136">
        <f>S154*H154</f>
        <v>0</v>
      </c>
      <c r="AR154" s="137" t="s">
        <v>149</v>
      </c>
      <c r="AT154" s="137" t="s">
        <v>144</v>
      </c>
      <c r="AU154" s="137" t="s">
        <v>143</v>
      </c>
      <c r="AY154" s="15" t="s">
        <v>141</v>
      </c>
      <c r="BE154" s="138">
        <f>IF(N154="základní",J154,0)</f>
        <v>0</v>
      </c>
      <c r="BF154" s="138">
        <f>IF(N154="snížená",J154,0)</f>
        <v>55176</v>
      </c>
      <c r="BG154" s="138">
        <f>IF(N154="zákl. přenesená",J154,0)</f>
        <v>0</v>
      </c>
      <c r="BH154" s="138">
        <f>IF(N154="sníž. přenesená",J154,0)</f>
        <v>0</v>
      </c>
      <c r="BI154" s="138">
        <f>IF(N154="nulová",J154,0)</f>
        <v>0</v>
      </c>
      <c r="BJ154" s="15" t="s">
        <v>143</v>
      </c>
      <c r="BK154" s="138">
        <f>ROUND(I154*H154,2)</f>
        <v>55176</v>
      </c>
      <c r="BL154" s="15" t="s">
        <v>149</v>
      </c>
      <c r="BM154" s="137" t="s">
        <v>2053</v>
      </c>
    </row>
    <row r="155" spans="2:65" s="12" customFormat="1">
      <c r="B155" s="148"/>
      <c r="D155" s="149" t="s">
        <v>363</v>
      </c>
      <c r="E155" s="154" t="s">
        <v>1</v>
      </c>
      <c r="F155" s="150" t="s">
        <v>2052</v>
      </c>
      <c r="H155" s="151">
        <v>38</v>
      </c>
      <c r="L155" s="148"/>
      <c r="M155" s="152"/>
      <c r="T155" s="153"/>
      <c r="AT155" s="154" t="s">
        <v>363</v>
      </c>
      <c r="AU155" s="154" t="s">
        <v>143</v>
      </c>
      <c r="AV155" s="12" t="s">
        <v>143</v>
      </c>
      <c r="AW155" s="12" t="s">
        <v>29</v>
      </c>
      <c r="AX155" s="12" t="s">
        <v>81</v>
      </c>
      <c r="AY155" s="154" t="s">
        <v>141</v>
      </c>
    </row>
    <row r="156" spans="2:65" s="1" customFormat="1" ht="21.75" customHeight="1">
      <c r="B156" s="126"/>
      <c r="C156" s="127" t="s">
        <v>176</v>
      </c>
      <c r="D156" s="127" t="s">
        <v>144</v>
      </c>
      <c r="E156" s="128" t="s">
        <v>2051</v>
      </c>
      <c r="F156" s="129" t="s">
        <v>2050</v>
      </c>
      <c r="G156" s="130" t="s">
        <v>193</v>
      </c>
      <c r="H156" s="131">
        <v>190</v>
      </c>
      <c r="I156" s="132">
        <v>13</v>
      </c>
      <c r="J156" s="132">
        <f>ROUND(I156*H156,2)</f>
        <v>2470</v>
      </c>
      <c r="K156" s="129" t="s">
        <v>148</v>
      </c>
      <c r="L156" s="27"/>
      <c r="M156" s="133" t="s">
        <v>1</v>
      </c>
      <c r="N156" s="134" t="s">
        <v>39</v>
      </c>
      <c r="O156" s="135">
        <v>2.3E-2</v>
      </c>
      <c r="P156" s="135">
        <f>O156*H156</f>
        <v>4.37</v>
      </c>
      <c r="Q156" s="135">
        <v>6.9999999999999994E-5</v>
      </c>
      <c r="R156" s="135">
        <f>Q156*H156</f>
        <v>1.3299999999999999E-2</v>
      </c>
      <c r="S156" s="135">
        <v>0</v>
      </c>
      <c r="T156" s="136">
        <f>S156*H156</f>
        <v>0</v>
      </c>
      <c r="AR156" s="137" t="s">
        <v>149</v>
      </c>
      <c r="AT156" s="137" t="s">
        <v>144</v>
      </c>
      <c r="AU156" s="137" t="s">
        <v>143</v>
      </c>
      <c r="AY156" s="15" t="s">
        <v>141</v>
      </c>
      <c r="BE156" s="138">
        <f>IF(N156="základní",J156,0)</f>
        <v>0</v>
      </c>
      <c r="BF156" s="138">
        <f>IF(N156="snížená",J156,0)</f>
        <v>2470</v>
      </c>
      <c r="BG156" s="138">
        <f>IF(N156="zákl. přenesená",J156,0)</f>
        <v>0</v>
      </c>
      <c r="BH156" s="138">
        <f>IF(N156="sníž. přenesená",J156,0)</f>
        <v>0</v>
      </c>
      <c r="BI156" s="138">
        <f>IF(N156="nulová",J156,0)</f>
        <v>0</v>
      </c>
      <c r="BJ156" s="15" t="s">
        <v>143</v>
      </c>
      <c r="BK156" s="138">
        <f>ROUND(I156*H156,2)</f>
        <v>2470</v>
      </c>
      <c r="BL156" s="15" t="s">
        <v>149</v>
      </c>
      <c r="BM156" s="137" t="s">
        <v>2049</v>
      </c>
    </row>
    <row r="157" spans="2:65" s="11" customFormat="1" ht="22.9" customHeight="1">
      <c r="B157" s="115"/>
      <c r="D157" s="116" t="s">
        <v>72</v>
      </c>
      <c r="E157" s="124" t="s">
        <v>164</v>
      </c>
      <c r="F157" s="124" t="s">
        <v>330</v>
      </c>
      <c r="J157" s="125">
        <f>BK157</f>
        <v>5100</v>
      </c>
      <c r="L157" s="115"/>
      <c r="M157" s="119"/>
      <c r="P157" s="120">
        <f>P158</f>
        <v>6.8250000000000002</v>
      </c>
      <c r="R157" s="120">
        <f>R158</f>
        <v>1.6500000000000001E-2</v>
      </c>
      <c r="T157" s="121">
        <f>T158</f>
        <v>0.15</v>
      </c>
      <c r="AR157" s="116" t="s">
        <v>81</v>
      </c>
      <c r="AT157" s="122" t="s">
        <v>72</v>
      </c>
      <c r="AU157" s="122" t="s">
        <v>81</v>
      </c>
      <c r="AY157" s="116" t="s">
        <v>141</v>
      </c>
      <c r="BK157" s="123">
        <f>BK158</f>
        <v>5100</v>
      </c>
    </row>
    <row r="158" spans="2:65" s="1" customFormat="1" ht="37.9" customHeight="1">
      <c r="B158" s="126"/>
      <c r="C158" s="127" t="s">
        <v>181</v>
      </c>
      <c r="D158" s="127" t="s">
        <v>144</v>
      </c>
      <c r="E158" s="128" t="s">
        <v>2048</v>
      </c>
      <c r="F158" s="129" t="s">
        <v>2047</v>
      </c>
      <c r="G158" s="130" t="s">
        <v>157</v>
      </c>
      <c r="H158" s="131">
        <v>75</v>
      </c>
      <c r="I158" s="132">
        <v>68</v>
      </c>
      <c r="J158" s="132">
        <f>ROUND(I158*H158,2)</f>
        <v>5100</v>
      </c>
      <c r="K158" s="129" t="s">
        <v>148</v>
      </c>
      <c r="L158" s="27"/>
      <c r="M158" s="133" t="s">
        <v>1</v>
      </c>
      <c r="N158" s="134" t="s">
        <v>39</v>
      </c>
      <c r="O158" s="135">
        <v>9.0999999999999998E-2</v>
      </c>
      <c r="P158" s="135">
        <f>O158*H158</f>
        <v>6.8250000000000002</v>
      </c>
      <c r="Q158" s="135">
        <v>2.2000000000000001E-4</v>
      </c>
      <c r="R158" s="135">
        <f>Q158*H158</f>
        <v>1.6500000000000001E-2</v>
      </c>
      <c r="S158" s="135">
        <v>2E-3</v>
      </c>
      <c r="T158" s="136">
        <f>S158*H158</f>
        <v>0.15</v>
      </c>
      <c r="AR158" s="137" t="s">
        <v>149</v>
      </c>
      <c r="AT158" s="137" t="s">
        <v>144</v>
      </c>
      <c r="AU158" s="137" t="s">
        <v>143</v>
      </c>
      <c r="AY158" s="15" t="s">
        <v>141</v>
      </c>
      <c r="BE158" s="138">
        <f>IF(N158="základní",J158,0)</f>
        <v>0</v>
      </c>
      <c r="BF158" s="138">
        <f>IF(N158="snížená",J158,0)</f>
        <v>5100</v>
      </c>
      <c r="BG158" s="138">
        <f>IF(N158="zákl. přenesená",J158,0)</f>
        <v>0</v>
      </c>
      <c r="BH158" s="138">
        <f>IF(N158="sníž. přenesená",J158,0)</f>
        <v>0</v>
      </c>
      <c r="BI158" s="138">
        <f>IF(N158="nulová",J158,0)</f>
        <v>0</v>
      </c>
      <c r="BJ158" s="15" t="s">
        <v>143</v>
      </c>
      <c r="BK158" s="138">
        <f>ROUND(I158*H158,2)</f>
        <v>5100</v>
      </c>
      <c r="BL158" s="15" t="s">
        <v>149</v>
      </c>
      <c r="BM158" s="137" t="s">
        <v>2046</v>
      </c>
    </row>
    <row r="159" spans="2:65" s="11" customFormat="1" ht="22.9" customHeight="1">
      <c r="B159" s="115"/>
      <c r="D159" s="116" t="s">
        <v>72</v>
      </c>
      <c r="E159" s="124" t="s">
        <v>172</v>
      </c>
      <c r="F159" s="124" t="s">
        <v>2045</v>
      </c>
      <c r="J159" s="125">
        <f>BK159</f>
        <v>305143.40000000002</v>
      </c>
      <c r="L159" s="115"/>
      <c r="M159" s="119"/>
      <c r="P159" s="120">
        <f>SUM(P160:P169)</f>
        <v>116.749</v>
      </c>
      <c r="R159" s="120">
        <f>SUM(R160:R169)</f>
        <v>2.2677899999999998</v>
      </c>
      <c r="T159" s="121">
        <f>SUM(T160:T169)</f>
        <v>0</v>
      </c>
      <c r="AR159" s="116" t="s">
        <v>81</v>
      </c>
      <c r="AT159" s="122" t="s">
        <v>72</v>
      </c>
      <c r="AU159" s="122" t="s">
        <v>81</v>
      </c>
      <c r="AY159" s="116" t="s">
        <v>141</v>
      </c>
      <c r="BK159" s="123">
        <f>SUM(BK160:BK169)</f>
        <v>305143.40000000002</v>
      </c>
    </row>
    <row r="160" spans="2:65" s="1" customFormat="1" ht="44.25" customHeight="1">
      <c r="B160" s="126"/>
      <c r="C160" s="127" t="s">
        <v>185</v>
      </c>
      <c r="D160" s="127" t="s">
        <v>144</v>
      </c>
      <c r="E160" s="128" t="s">
        <v>2044</v>
      </c>
      <c r="F160" s="129" t="s">
        <v>2043</v>
      </c>
      <c r="G160" s="130" t="s">
        <v>147</v>
      </c>
      <c r="H160" s="131">
        <v>1</v>
      </c>
      <c r="I160" s="132">
        <v>1560</v>
      </c>
      <c r="J160" s="132">
        <f t="shared" ref="J160:J169" si="0">ROUND(I160*H160,2)</f>
        <v>1560</v>
      </c>
      <c r="K160" s="129" t="s">
        <v>148</v>
      </c>
      <c r="L160" s="27"/>
      <c r="M160" s="133" t="s">
        <v>1</v>
      </c>
      <c r="N160" s="134" t="s">
        <v>39</v>
      </c>
      <c r="O160" s="135">
        <v>0.58299999999999996</v>
      </c>
      <c r="P160" s="135">
        <f t="shared" ref="P160:P169" si="1">O160*H160</f>
        <v>0.58299999999999996</v>
      </c>
      <c r="Q160" s="135">
        <v>8.2049999999999998E-2</v>
      </c>
      <c r="R160" s="135">
        <f t="shared" ref="R160:R169" si="2">Q160*H160</f>
        <v>8.2049999999999998E-2</v>
      </c>
      <c r="S160" s="135">
        <v>0</v>
      </c>
      <c r="T160" s="136">
        <f t="shared" ref="T160:T169" si="3">S160*H160</f>
        <v>0</v>
      </c>
      <c r="AR160" s="137" t="s">
        <v>149</v>
      </c>
      <c r="AT160" s="137" t="s">
        <v>144</v>
      </c>
      <c r="AU160" s="137" t="s">
        <v>143</v>
      </c>
      <c r="AY160" s="15" t="s">
        <v>141</v>
      </c>
      <c r="BE160" s="138">
        <f t="shared" ref="BE160:BE169" si="4">IF(N160="základní",J160,0)</f>
        <v>0</v>
      </c>
      <c r="BF160" s="138">
        <f t="shared" ref="BF160:BF169" si="5">IF(N160="snížená",J160,0)</f>
        <v>1560</v>
      </c>
      <c r="BG160" s="138">
        <f t="shared" ref="BG160:BG169" si="6">IF(N160="zákl. přenesená",J160,0)</f>
        <v>0</v>
      </c>
      <c r="BH160" s="138">
        <f t="shared" ref="BH160:BH169" si="7">IF(N160="sníž. přenesená",J160,0)</f>
        <v>0</v>
      </c>
      <c r="BI160" s="138">
        <f t="shared" ref="BI160:BI169" si="8">IF(N160="nulová",J160,0)</f>
        <v>0</v>
      </c>
      <c r="BJ160" s="15" t="s">
        <v>143</v>
      </c>
      <c r="BK160" s="138">
        <f t="shared" ref="BK160:BK169" si="9">ROUND(I160*H160,2)</f>
        <v>1560</v>
      </c>
      <c r="BL160" s="15" t="s">
        <v>149</v>
      </c>
      <c r="BM160" s="137" t="s">
        <v>2042</v>
      </c>
    </row>
    <row r="161" spans="2:65" s="1" customFormat="1" ht="37.9" customHeight="1">
      <c r="B161" s="126"/>
      <c r="C161" s="127" t="s">
        <v>190</v>
      </c>
      <c r="D161" s="127" t="s">
        <v>144</v>
      </c>
      <c r="E161" s="128" t="s">
        <v>2041</v>
      </c>
      <c r="F161" s="129" t="s">
        <v>2040</v>
      </c>
      <c r="G161" s="130" t="s">
        <v>147</v>
      </c>
      <c r="H161" s="131">
        <v>1</v>
      </c>
      <c r="I161" s="132">
        <v>1150</v>
      </c>
      <c r="J161" s="132">
        <f t="shared" si="0"/>
        <v>1150</v>
      </c>
      <c r="K161" s="129" t="s">
        <v>148</v>
      </c>
      <c r="L161" s="27"/>
      <c r="M161" s="133" t="s">
        <v>1</v>
      </c>
      <c r="N161" s="134" t="s">
        <v>39</v>
      </c>
      <c r="O161" s="135">
        <v>0.16600000000000001</v>
      </c>
      <c r="P161" s="135">
        <f t="shared" si="1"/>
        <v>0.16600000000000001</v>
      </c>
      <c r="Q161" s="135">
        <v>5.9800000000000001E-3</v>
      </c>
      <c r="R161" s="135">
        <f t="shared" si="2"/>
        <v>5.9800000000000001E-3</v>
      </c>
      <c r="S161" s="135">
        <v>0</v>
      </c>
      <c r="T161" s="136">
        <f t="shared" si="3"/>
        <v>0</v>
      </c>
      <c r="AR161" s="137" t="s">
        <v>149</v>
      </c>
      <c r="AT161" s="137" t="s">
        <v>144</v>
      </c>
      <c r="AU161" s="137" t="s">
        <v>143</v>
      </c>
      <c r="AY161" s="15" t="s">
        <v>141</v>
      </c>
      <c r="BE161" s="138">
        <f t="shared" si="4"/>
        <v>0</v>
      </c>
      <c r="BF161" s="138">
        <f t="shared" si="5"/>
        <v>1150</v>
      </c>
      <c r="BG161" s="138">
        <f t="shared" si="6"/>
        <v>0</v>
      </c>
      <c r="BH161" s="138">
        <f t="shared" si="7"/>
        <v>0</v>
      </c>
      <c r="BI161" s="138">
        <f t="shared" si="8"/>
        <v>0</v>
      </c>
      <c r="BJ161" s="15" t="s">
        <v>143</v>
      </c>
      <c r="BK161" s="138">
        <f t="shared" si="9"/>
        <v>1150</v>
      </c>
      <c r="BL161" s="15" t="s">
        <v>149</v>
      </c>
      <c r="BM161" s="137" t="s">
        <v>2039</v>
      </c>
    </row>
    <row r="162" spans="2:65" s="1" customFormat="1" ht="44.25" customHeight="1">
      <c r="B162" s="126"/>
      <c r="C162" s="127" t="s">
        <v>195</v>
      </c>
      <c r="D162" s="127" t="s">
        <v>144</v>
      </c>
      <c r="E162" s="128" t="s">
        <v>2038</v>
      </c>
      <c r="F162" s="129" t="s">
        <v>2037</v>
      </c>
      <c r="G162" s="130" t="s">
        <v>147</v>
      </c>
      <c r="H162" s="131">
        <v>1</v>
      </c>
      <c r="I162" s="132">
        <v>81.400000000000006</v>
      </c>
      <c r="J162" s="132">
        <f t="shared" si="0"/>
        <v>81.400000000000006</v>
      </c>
      <c r="K162" s="129" t="s">
        <v>148</v>
      </c>
      <c r="L162" s="27"/>
      <c r="M162" s="133" t="s">
        <v>1</v>
      </c>
      <c r="N162" s="134" t="s">
        <v>39</v>
      </c>
      <c r="O162" s="135">
        <v>0.22</v>
      </c>
      <c r="P162" s="135">
        <f t="shared" si="1"/>
        <v>0.22</v>
      </c>
      <c r="Q162" s="135">
        <v>0</v>
      </c>
      <c r="R162" s="135">
        <f t="shared" si="2"/>
        <v>0</v>
      </c>
      <c r="S162" s="135">
        <v>0</v>
      </c>
      <c r="T162" s="136">
        <f t="shared" si="3"/>
        <v>0</v>
      </c>
      <c r="AR162" s="137" t="s">
        <v>149</v>
      </c>
      <c r="AT162" s="137" t="s">
        <v>144</v>
      </c>
      <c r="AU162" s="137" t="s">
        <v>143</v>
      </c>
      <c r="AY162" s="15" t="s">
        <v>141</v>
      </c>
      <c r="BE162" s="138">
        <f t="shared" si="4"/>
        <v>0</v>
      </c>
      <c r="BF162" s="138">
        <f t="shared" si="5"/>
        <v>81.400000000000006</v>
      </c>
      <c r="BG162" s="138">
        <f t="shared" si="6"/>
        <v>0</v>
      </c>
      <c r="BH162" s="138">
        <f t="shared" si="7"/>
        <v>0</v>
      </c>
      <c r="BI162" s="138">
        <f t="shared" si="8"/>
        <v>0</v>
      </c>
      <c r="BJ162" s="15" t="s">
        <v>143</v>
      </c>
      <c r="BK162" s="138">
        <f t="shared" si="9"/>
        <v>81.400000000000006</v>
      </c>
      <c r="BL162" s="15" t="s">
        <v>149</v>
      </c>
      <c r="BM162" s="137" t="s">
        <v>2036</v>
      </c>
    </row>
    <row r="163" spans="2:65" s="1" customFormat="1" ht="37.9" customHeight="1">
      <c r="B163" s="126"/>
      <c r="C163" s="127" t="s">
        <v>199</v>
      </c>
      <c r="D163" s="127" t="s">
        <v>144</v>
      </c>
      <c r="E163" s="128" t="s">
        <v>2035</v>
      </c>
      <c r="F163" s="129" t="s">
        <v>2034</v>
      </c>
      <c r="G163" s="130" t="s">
        <v>147</v>
      </c>
      <c r="H163" s="131">
        <v>1</v>
      </c>
      <c r="I163" s="132">
        <v>584</v>
      </c>
      <c r="J163" s="132">
        <f t="shared" si="0"/>
        <v>584</v>
      </c>
      <c r="K163" s="129" t="s">
        <v>148</v>
      </c>
      <c r="L163" s="27"/>
      <c r="M163" s="133" t="s">
        <v>1</v>
      </c>
      <c r="N163" s="134" t="s">
        <v>39</v>
      </c>
      <c r="O163" s="135">
        <v>0.16700000000000001</v>
      </c>
      <c r="P163" s="135">
        <f t="shared" si="1"/>
        <v>0.16700000000000001</v>
      </c>
      <c r="Q163" s="135">
        <v>1.9400000000000001E-3</v>
      </c>
      <c r="R163" s="135">
        <f t="shared" si="2"/>
        <v>1.9400000000000001E-3</v>
      </c>
      <c r="S163" s="135">
        <v>0</v>
      </c>
      <c r="T163" s="136">
        <f t="shared" si="3"/>
        <v>0</v>
      </c>
      <c r="AR163" s="137" t="s">
        <v>149</v>
      </c>
      <c r="AT163" s="137" t="s">
        <v>144</v>
      </c>
      <c r="AU163" s="137" t="s">
        <v>143</v>
      </c>
      <c r="AY163" s="15" t="s">
        <v>141</v>
      </c>
      <c r="BE163" s="138">
        <f t="shared" si="4"/>
        <v>0</v>
      </c>
      <c r="BF163" s="138">
        <f t="shared" si="5"/>
        <v>584</v>
      </c>
      <c r="BG163" s="138">
        <f t="shared" si="6"/>
        <v>0</v>
      </c>
      <c r="BH163" s="138">
        <f t="shared" si="7"/>
        <v>0</v>
      </c>
      <c r="BI163" s="138">
        <f t="shared" si="8"/>
        <v>0</v>
      </c>
      <c r="BJ163" s="15" t="s">
        <v>143</v>
      </c>
      <c r="BK163" s="138">
        <f t="shared" si="9"/>
        <v>584</v>
      </c>
      <c r="BL163" s="15" t="s">
        <v>149</v>
      </c>
      <c r="BM163" s="137" t="s">
        <v>2033</v>
      </c>
    </row>
    <row r="164" spans="2:65" s="1" customFormat="1" ht="44.25" customHeight="1">
      <c r="B164" s="126"/>
      <c r="C164" s="127" t="s">
        <v>8</v>
      </c>
      <c r="D164" s="127" t="s">
        <v>144</v>
      </c>
      <c r="E164" s="128" t="s">
        <v>2032</v>
      </c>
      <c r="F164" s="129" t="s">
        <v>2031</v>
      </c>
      <c r="G164" s="130" t="s">
        <v>147</v>
      </c>
      <c r="H164" s="131">
        <v>1</v>
      </c>
      <c r="I164" s="132">
        <v>20100</v>
      </c>
      <c r="J164" s="132">
        <f t="shared" si="0"/>
        <v>20100</v>
      </c>
      <c r="K164" s="129" t="s">
        <v>148</v>
      </c>
      <c r="L164" s="27"/>
      <c r="M164" s="133" t="s">
        <v>1</v>
      </c>
      <c r="N164" s="134" t="s">
        <v>39</v>
      </c>
      <c r="O164" s="135">
        <v>1.167</v>
      </c>
      <c r="P164" s="135">
        <f t="shared" si="1"/>
        <v>1.167</v>
      </c>
      <c r="Q164" s="135">
        <v>0.23147000000000001</v>
      </c>
      <c r="R164" s="135">
        <f t="shared" si="2"/>
        <v>0.23147000000000001</v>
      </c>
      <c r="S164" s="135">
        <v>0</v>
      </c>
      <c r="T164" s="136">
        <f t="shared" si="3"/>
        <v>0</v>
      </c>
      <c r="AR164" s="137" t="s">
        <v>149</v>
      </c>
      <c r="AT164" s="137" t="s">
        <v>144</v>
      </c>
      <c r="AU164" s="137" t="s">
        <v>143</v>
      </c>
      <c r="AY164" s="15" t="s">
        <v>141</v>
      </c>
      <c r="BE164" s="138">
        <f t="shared" si="4"/>
        <v>0</v>
      </c>
      <c r="BF164" s="138">
        <f t="shared" si="5"/>
        <v>20100</v>
      </c>
      <c r="BG164" s="138">
        <f t="shared" si="6"/>
        <v>0</v>
      </c>
      <c r="BH164" s="138">
        <f t="shared" si="7"/>
        <v>0</v>
      </c>
      <c r="BI164" s="138">
        <f t="shared" si="8"/>
        <v>0</v>
      </c>
      <c r="BJ164" s="15" t="s">
        <v>143</v>
      </c>
      <c r="BK164" s="138">
        <f t="shared" si="9"/>
        <v>20100</v>
      </c>
      <c r="BL164" s="15" t="s">
        <v>149</v>
      </c>
      <c r="BM164" s="137" t="s">
        <v>2030</v>
      </c>
    </row>
    <row r="165" spans="2:65" s="1" customFormat="1" ht="37.9" customHeight="1">
      <c r="B165" s="126"/>
      <c r="C165" s="127" t="s">
        <v>206</v>
      </c>
      <c r="D165" s="127" t="s">
        <v>144</v>
      </c>
      <c r="E165" s="128" t="s">
        <v>2029</v>
      </c>
      <c r="F165" s="129" t="s">
        <v>2028</v>
      </c>
      <c r="G165" s="130" t="s">
        <v>147</v>
      </c>
      <c r="H165" s="131">
        <v>1</v>
      </c>
      <c r="I165" s="132">
        <v>44300</v>
      </c>
      <c r="J165" s="132">
        <f t="shared" si="0"/>
        <v>44300</v>
      </c>
      <c r="K165" s="129" t="s">
        <v>148</v>
      </c>
      <c r="L165" s="27"/>
      <c r="M165" s="133" t="s">
        <v>1</v>
      </c>
      <c r="N165" s="134" t="s">
        <v>39</v>
      </c>
      <c r="O165" s="135">
        <v>0.86199999999999999</v>
      </c>
      <c r="P165" s="135">
        <f t="shared" si="1"/>
        <v>0.86199999999999999</v>
      </c>
      <c r="Q165" s="135">
        <v>0.19089</v>
      </c>
      <c r="R165" s="135">
        <f t="shared" si="2"/>
        <v>0.19089</v>
      </c>
      <c r="S165" s="135">
        <v>0</v>
      </c>
      <c r="T165" s="136">
        <f t="shared" si="3"/>
        <v>0</v>
      </c>
      <c r="AR165" s="137" t="s">
        <v>149</v>
      </c>
      <c r="AT165" s="137" t="s">
        <v>144</v>
      </c>
      <c r="AU165" s="137" t="s">
        <v>143</v>
      </c>
      <c r="AY165" s="15" t="s">
        <v>141</v>
      </c>
      <c r="BE165" s="138">
        <f t="shared" si="4"/>
        <v>0</v>
      </c>
      <c r="BF165" s="138">
        <f t="shared" si="5"/>
        <v>44300</v>
      </c>
      <c r="BG165" s="138">
        <f t="shared" si="6"/>
        <v>0</v>
      </c>
      <c r="BH165" s="138">
        <f t="shared" si="7"/>
        <v>0</v>
      </c>
      <c r="BI165" s="138">
        <f t="shared" si="8"/>
        <v>0</v>
      </c>
      <c r="BJ165" s="15" t="s">
        <v>143</v>
      </c>
      <c r="BK165" s="138">
        <f t="shared" si="9"/>
        <v>44300</v>
      </c>
      <c r="BL165" s="15" t="s">
        <v>149</v>
      </c>
      <c r="BM165" s="137" t="s">
        <v>2027</v>
      </c>
    </row>
    <row r="166" spans="2:65" s="1" customFormat="1" ht="37.9" customHeight="1">
      <c r="B166" s="126"/>
      <c r="C166" s="127" t="s">
        <v>211</v>
      </c>
      <c r="D166" s="127" t="s">
        <v>144</v>
      </c>
      <c r="E166" s="128" t="s">
        <v>2026</v>
      </c>
      <c r="F166" s="129" t="s">
        <v>2025</v>
      </c>
      <c r="G166" s="130" t="s">
        <v>147</v>
      </c>
      <c r="H166" s="131">
        <v>1</v>
      </c>
      <c r="I166" s="132">
        <v>154</v>
      </c>
      <c r="J166" s="132">
        <f t="shared" si="0"/>
        <v>154</v>
      </c>
      <c r="K166" s="129" t="s">
        <v>148</v>
      </c>
      <c r="L166" s="27"/>
      <c r="M166" s="133" t="s">
        <v>1</v>
      </c>
      <c r="N166" s="134" t="s">
        <v>39</v>
      </c>
      <c r="O166" s="135">
        <v>0.41699999999999998</v>
      </c>
      <c r="P166" s="135">
        <f t="shared" si="1"/>
        <v>0.41699999999999998</v>
      </c>
      <c r="Q166" s="135">
        <v>0</v>
      </c>
      <c r="R166" s="135">
        <f t="shared" si="2"/>
        <v>0</v>
      </c>
      <c r="S166" s="135">
        <v>0</v>
      </c>
      <c r="T166" s="136">
        <f t="shared" si="3"/>
        <v>0</v>
      </c>
      <c r="AR166" s="137" t="s">
        <v>149</v>
      </c>
      <c r="AT166" s="137" t="s">
        <v>144</v>
      </c>
      <c r="AU166" s="137" t="s">
        <v>143</v>
      </c>
      <c r="AY166" s="15" t="s">
        <v>141</v>
      </c>
      <c r="BE166" s="138">
        <f t="shared" si="4"/>
        <v>0</v>
      </c>
      <c r="BF166" s="138">
        <f t="shared" si="5"/>
        <v>154</v>
      </c>
      <c r="BG166" s="138">
        <f t="shared" si="6"/>
        <v>0</v>
      </c>
      <c r="BH166" s="138">
        <f t="shared" si="7"/>
        <v>0</v>
      </c>
      <c r="BI166" s="138">
        <f t="shared" si="8"/>
        <v>0</v>
      </c>
      <c r="BJ166" s="15" t="s">
        <v>143</v>
      </c>
      <c r="BK166" s="138">
        <f t="shared" si="9"/>
        <v>154</v>
      </c>
      <c r="BL166" s="15" t="s">
        <v>149</v>
      </c>
      <c r="BM166" s="137" t="s">
        <v>2024</v>
      </c>
    </row>
    <row r="167" spans="2:65" s="1" customFormat="1" ht="44.25" customHeight="1">
      <c r="B167" s="126"/>
      <c r="C167" s="127" t="s">
        <v>215</v>
      </c>
      <c r="D167" s="127" t="s">
        <v>144</v>
      </c>
      <c r="E167" s="128" t="s">
        <v>2023</v>
      </c>
      <c r="F167" s="129" t="s">
        <v>2022</v>
      </c>
      <c r="G167" s="130" t="s">
        <v>147</v>
      </c>
      <c r="H167" s="131">
        <v>1</v>
      </c>
      <c r="I167" s="132">
        <v>13800</v>
      </c>
      <c r="J167" s="132">
        <f t="shared" si="0"/>
        <v>13800</v>
      </c>
      <c r="K167" s="129" t="s">
        <v>148</v>
      </c>
      <c r="L167" s="27"/>
      <c r="M167" s="133" t="s">
        <v>1</v>
      </c>
      <c r="N167" s="134" t="s">
        <v>39</v>
      </c>
      <c r="O167" s="135">
        <v>0.16700000000000001</v>
      </c>
      <c r="P167" s="135">
        <f t="shared" si="1"/>
        <v>0.16700000000000001</v>
      </c>
      <c r="Q167" s="135">
        <v>0.22422</v>
      </c>
      <c r="R167" s="135">
        <f t="shared" si="2"/>
        <v>0.22422</v>
      </c>
      <c r="S167" s="135">
        <v>0</v>
      </c>
      <c r="T167" s="136">
        <f t="shared" si="3"/>
        <v>0</v>
      </c>
      <c r="AR167" s="137" t="s">
        <v>149</v>
      </c>
      <c r="AT167" s="137" t="s">
        <v>144</v>
      </c>
      <c r="AU167" s="137" t="s">
        <v>143</v>
      </c>
      <c r="AY167" s="15" t="s">
        <v>141</v>
      </c>
      <c r="BE167" s="138">
        <f t="shared" si="4"/>
        <v>0</v>
      </c>
      <c r="BF167" s="138">
        <f t="shared" si="5"/>
        <v>13800</v>
      </c>
      <c r="BG167" s="138">
        <f t="shared" si="6"/>
        <v>0</v>
      </c>
      <c r="BH167" s="138">
        <f t="shared" si="7"/>
        <v>0</v>
      </c>
      <c r="BI167" s="138">
        <f t="shared" si="8"/>
        <v>0</v>
      </c>
      <c r="BJ167" s="15" t="s">
        <v>143</v>
      </c>
      <c r="BK167" s="138">
        <f t="shared" si="9"/>
        <v>13800</v>
      </c>
      <c r="BL167" s="15" t="s">
        <v>149</v>
      </c>
      <c r="BM167" s="137" t="s">
        <v>2021</v>
      </c>
    </row>
    <row r="168" spans="2:65" s="1" customFormat="1" ht="33" customHeight="1">
      <c r="B168" s="126"/>
      <c r="C168" s="127" t="s">
        <v>217</v>
      </c>
      <c r="D168" s="127" t="s">
        <v>144</v>
      </c>
      <c r="E168" s="128" t="s">
        <v>2020</v>
      </c>
      <c r="F168" s="129" t="s">
        <v>2019</v>
      </c>
      <c r="G168" s="130" t="s">
        <v>147</v>
      </c>
      <c r="H168" s="131">
        <v>2</v>
      </c>
      <c r="I168" s="132">
        <v>707</v>
      </c>
      <c r="J168" s="132">
        <f t="shared" si="0"/>
        <v>1414</v>
      </c>
      <c r="K168" s="129" t="s">
        <v>148</v>
      </c>
      <c r="L168" s="27"/>
      <c r="M168" s="133" t="s">
        <v>1</v>
      </c>
      <c r="N168" s="134" t="s">
        <v>39</v>
      </c>
      <c r="O168" s="135">
        <v>0.25</v>
      </c>
      <c r="P168" s="135">
        <f t="shared" si="1"/>
        <v>0.5</v>
      </c>
      <c r="Q168" s="135">
        <v>6.2E-4</v>
      </c>
      <c r="R168" s="135">
        <f t="shared" si="2"/>
        <v>1.24E-3</v>
      </c>
      <c r="S168" s="135">
        <v>0</v>
      </c>
      <c r="T168" s="136">
        <f t="shared" si="3"/>
        <v>0</v>
      </c>
      <c r="AR168" s="137" t="s">
        <v>149</v>
      </c>
      <c r="AT168" s="137" t="s">
        <v>144</v>
      </c>
      <c r="AU168" s="137" t="s">
        <v>143</v>
      </c>
      <c r="AY168" s="15" t="s">
        <v>141</v>
      </c>
      <c r="BE168" s="138">
        <f t="shared" si="4"/>
        <v>0</v>
      </c>
      <c r="BF168" s="138">
        <f t="shared" si="5"/>
        <v>1414</v>
      </c>
      <c r="BG168" s="138">
        <f t="shared" si="6"/>
        <v>0</v>
      </c>
      <c r="BH168" s="138">
        <f t="shared" si="7"/>
        <v>0</v>
      </c>
      <c r="BI168" s="138">
        <f t="shared" si="8"/>
        <v>0</v>
      </c>
      <c r="BJ168" s="15" t="s">
        <v>143</v>
      </c>
      <c r="BK168" s="138">
        <f t="shared" si="9"/>
        <v>1414</v>
      </c>
      <c r="BL168" s="15" t="s">
        <v>149</v>
      </c>
      <c r="BM168" s="137" t="s">
        <v>2018</v>
      </c>
    </row>
    <row r="169" spans="2:65" s="1" customFormat="1" ht="49.15" customHeight="1">
      <c r="B169" s="126"/>
      <c r="C169" s="127" t="s">
        <v>221</v>
      </c>
      <c r="D169" s="127" t="s">
        <v>144</v>
      </c>
      <c r="E169" s="128" t="s">
        <v>2017</v>
      </c>
      <c r="F169" s="129" t="s">
        <v>2016</v>
      </c>
      <c r="G169" s="130" t="s">
        <v>162</v>
      </c>
      <c r="H169" s="131">
        <v>25</v>
      </c>
      <c r="I169" s="132">
        <v>8880</v>
      </c>
      <c r="J169" s="132">
        <f t="shared" si="0"/>
        <v>222000</v>
      </c>
      <c r="K169" s="129" t="s">
        <v>148</v>
      </c>
      <c r="L169" s="27"/>
      <c r="M169" s="133" t="s">
        <v>1</v>
      </c>
      <c r="N169" s="134" t="s">
        <v>39</v>
      </c>
      <c r="O169" s="135">
        <v>4.5</v>
      </c>
      <c r="P169" s="135">
        <f t="shared" si="1"/>
        <v>112.5</v>
      </c>
      <c r="Q169" s="135">
        <v>6.1199999999999997E-2</v>
      </c>
      <c r="R169" s="135">
        <f t="shared" si="2"/>
        <v>1.53</v>
      </c>
      <c r="S169" s="135">
        <v>0</v>
      </c>
      <c r="T169" s="136">
        <f t="shared" si="3"/>
        <v>0</v>
      </c>
      <c r="AR169" s="137" t="s">
        <v>149</v>
      </c>
      <c r="AT169" s="137" t="s">
        <v>144</v>
      </c>
      <c r="AU169" s="137" t="s">
        <v>143</v>
      </c>
      <c r="AY169" s="15" t="s">
        <v>141</v>
      </c>
      <c r="BE169" s="138">
        <f t="shared" si="4"/>
        <v>0</v>
      </c>
      <c r="BF169" s="138">
        <f t="shared" si="5"/>
        <v>222000</v>
      </c>
      <c r="BG169" s="138">
        <f t="shared" si="6"/>
        <v>0</v>
      </c>
      <c r="BH169" s="138">
        <f t="shared" si="7"/>
        <v>0</v>
      </c>
      <c r="BI169" s="138">
        <f t="shared" si="8"/>
        <v>0</v>
      </c>
      <c r="BJ169" s="15" t="s">
        <v>143</v>
      </c>
      <c r="BK169" s="138">
        <f t="shared" si="9"/>
        <v>222000</v>
      </c>
      <c r="BL169" s="15" t="s">
        <v>149</v>
      </c>
      <c r="BM169" s="137" t="s">
        <v>2015</v>
      </c>
    </row>
    <row r="170" spans="2:65" s="11" customFormat="1" ht="25.9" customHeight="1">
      <c r="B170" s="115"/>
      <c r="D170" s="116" t="s">
        <v>72</v>
      </c>
      <c r="E170" s="117" t="s">
        <v>516</v>
      </c>
      <c r="F170" s="117" t="s">
        <v>517</v>
      </c>
      <c r="J170" s="118">
        <f>BK170</f>
        <v>1236349.95</v>
      </c>
      <c r="L170" s="115"/>
      <c r="M170" s="119"/>
      <c r="P170" s="120">
        <f>P171+P198+P225+P252+P257+P262</f>
        <v>841.85077099999978</v>
      </c>
      <c r="R170" s="120">
        <f>R171+R198+R225+R252+R257+R262</f>
        <v>4.3299800000000008</v>
      </c>
      <c r="T170" s="121">
        <f>T171+T198+T225+T252+T257+T262</f>
        <v>0</v>
      </c>
      <c r="AR170" s="116" t="s">
        <v>143</v>
      </c>
      <c r="AT170" s="122" t="s">
        <v>72</v>
      </c>
      <c r="AU170" s="122" t="s">
        <v>73</v>
      </c>
      <c r="AY170" s="116" t="s">
        <v>141</v>
      </c>
      <c r="BK170" s="123">
        <f>BK171+BK198+BK225+BK252+BK257+BK262</f>
        <v>1236349.95</v>
      </c>
    </row>
    <row r="171" spans="2:65" s="11" customFormat="1" ht="22.9" customHeight="1">
      <c r="B171" s="115"/>
      <c r="D171" s="116" t="s">
        <v>72</v>
      </c>
      <c r="E171" s="124" t="s">
        <v>705</v>
      </c>
      <c r="F171" s="124" t="s">
        <v>2014</v>
      </c>
      <c r="J171" s="125">
        <f>BK171</f>
        <v>433923.14</v>
      </c>
      <c r="L171" s="115"/>
      <c r="M171" s="119"/>
      <c r="P171" s="120">
        <f>SUM(P172:P197)</f>
        <v>294.12489999999997</v>
      </c>
      <c r="R171" s="120">
        <f>SUM(R172:R197)</f>
        <v>2.5700799999999999</v>
      </c>
      <c r="T171" s="121">
        <f>SUM(T172:T197)</f>
        <v>0</v>
      </c>
      <c r="AR171" s="116" t="s">
        <v>143</v>
      </c>
      <c r="AT171" s="122" t="s">
        <v>72</v>
      </c>
      <c r="AU171" s="122" t="s">
        <v>81</v>
      </c>
      <c r="AY171" s="116" t="s">
        <v>141</v>
      </c>
      <c r="BK171" s="123">
        <f>SUM(BK172:BK197)</f>
        <v>433923.14</v>
      </c>
    </row>
    <row r="172" spans="2:65" s="1" customFormat="1" ht="16.5" customHeight="1">
      <c r="B172" s="126"/>
      <c r="C172" s="127" t="s">
        <v>7</v>
      </c>
      <c r="D172" s="127" t="s">
        <v>144</v>
      </c>
      <c r="E172" s="128" t="s">
        <v>2013</v>
      </c>
      <c r="F172" s="129" t="s">
        <v>2012</v>
      </c>
      <c r="G172" s="130" t="s">
        <v>193</v>
      </c>
      <c r="H172" s="131">
        <v>90</v>
      </c>
      <c r="I172" s="132">
        <v>515</v>
      </c>
      <c r="J172" s="132">
        <f t="shared" ref="J172:J197" si="10">ROUND(I172*H172,2)</f>
        <v>46350</v>
      </c>
      <c r="K172" s="129" t="s">
        <v>148</v>
      </c>
      <c r="L172" s="27"/>
      <c r="M172" s="133" t="s">
        <v>1</v>
      </c>
      <c r="N172" s="134" t="s">
        <v>39</v>
      </c>
      <c r="O172" s="135">
        <v>0.47799999999999998</v>
      </c>
      <c r="P172" s="135">
        <f t="shared" ref="P172:P197" si="11">O172*H172</f>
        <v>43.019999999999996</v>
      </c>
      <c r="Q172" s="135">
        <v>1.6800000000000001E-3</v>
      </c>
      <c r="R172" s="135">
        <f t="shared" ref="R172:R197" si="12">Q172*H172</f>
        <v>0.1512</v>
      </c>
      <c r="S172" s="135">
        <v>0</v>
      </c>
      <c r="T172" s="136">
        <f t="shared" ref="T172:T197" si="13">S172*H172</f>
        <v>0</v>
      </c>
      <c r="AR172" s="137" t="s">
        <v>206</v>
      </c>
      <c r="AT172" s="137" t="s">
        <v>144</v>
      </c>
      <c r="AU172" s="137" t="s">
        <v>143</v>
      </c>
      <c r="AY172" s="15" t="s">
        <v>141</v>
      </c>
      <c r="BE172" s="138">
        <f t="shared" ref="BE172:BE197" si="14">IF(N172="základní",J172,0)</f>
        <v>0</v>
      </c>
      <c r="BF172" s="138">
        <f t="shared" ref="BF172:BF197" si="15">IF(N172="snížená",J172,0)</f>
        <v>46350</v>
      </c>
      <c r="BG172" s="138">
        <f t="shared" ref="BG172:BG197" si="16">IF(N172="zákl. přenesená",J172,0)</f>
        <v>0</v>
      </c>
      <c r="BH172" s="138">
        <f t="shared" ref="BH172:BH197" si="17">IF(N172="sníž. přenesená",J172,0)</f>
        <v>0</v>
      </c>
      <c r="BI172" s="138">
        <f t="shared" ref="BI172:BI197" si="18">IF(N172="nulová",J172,0)</f>
        <v>0</v>
      </c>
      <c r="BJ172" s="15" t="s">
        <v>143</v>
      </c>
      <c r="BK172" s="138">
        <f t="shared" ref="BK172:BK197" si="19">ROUND(I172*H172,2)</f>
        <v>46350</v>
      </c>
      <c r="BL172" s="15" t="s">
        <v>206</v>
      </c>
      <c r="BM172" s="137" t="s">
        <v>2011</v>
      </c>
    </row>
    <row r="173" spans="2:65" s="1" customFormat="1" ht="16.5" customHeight="1">
      <c r="B173" s="126"/>
      <c r="C173" s="127" t="s">
        <v>228</v>
      </c>
      <c r="D173" s="127" t="s">
        <v>144</v>
      </c>
      <c r="E173" s="128" t="s">
        <v>2010</v>
      </c>
      <c r="F173" s="129" t="s">
        <v>2009</v>
      </c>
      <c r="G173" s="130" t="s">
        <v>193</v>
      </c>
      <c r="H173" s="131">
        <v>50</v>
      </c>
      <c r="I173" s="132">
        <v>634</v>
      </c>
      <c r="J173" s="132">
        <f t="shared" si="10"/>
        <v>31700</v>
      </c>
      <c r="K173" s="129" t="s">
        <v>148</v>
      </c>
      <c r="L173" s="27"/>
      <c r="M173" s="133" t="s">
        <v>1</v>
      </c>
      <c r="N173" s="134" t="s">
        <v>39</v>
      </c>
      <c r="O173" s="135">
        <v>0.55700000000000005</v>
      </c>
      <c r="P173" s="135">
        <f t="shared" si="11"/>
        <v>27.85</v>
      </c>
      <c r="Q173" s="135">
        <v>1.91E-3</v>
      </c>
      <c r="R173" s="135">
        <f t="shared" si="12"/>
        <v>9.5500000000000002E-2</v>
      </c>
      <c r="S173" s="135">
        <v>0</v>
      </c>
      <c r="T173" s="136">
        <f t="shared" si="13"/>
        <v>0</v>
      </c>
      <c r="AR173" s="137" t="s">
        <v>206</v>
      </c>
      <c r="AT173" s="137" t="s">
        <v>144</v>
      </c>
      <c r="AU173" s="137" t="s">
        <v>143</v>
      </c>
      <c r="AY173" s="15" t="s">
        <v>141</v>
      </c>
      <c r="BE173" s="138">
        <f t="shared" si="14"/>
        <v>0</v>
      </c>
      <c r="BF173" s="138">
        <f t="shared" si="15"/>
        <v>31700</v>
      </c>
      <c r="BG173" s="138">
        <f t="shared" si="16"/>
        <v>0</v>
      </c>
      <c r="BH173" s="138">
        <f t="shared" si="17"/>
        <v>0</v>
      </c>
      <c r="BI173" s="138">
        <f t="shared" si="18"/>
        <v>0</v>
      </c>
      <c r="BJ173" s="15" t="s">
        <v>143</v>
      </c>
      <c r="BK173" s="138">
        <f t="shared" si="19"/>
        <v>31700</v>
      </c>
      <c r="BL173" s="15" t="s">
        <v>206</v>
      </c>
      <c r="BM173" s="137" t="s">
        <v>2008</v>
      </c>
    </row>
    <row r="174" spans="2:65" s="1" customFormat="1" ht="16.5" customHeight="1">
      <c r="B174" s="126"/>
      <c r="C174" s="127" t="s">
        <v>232</v>
      </c>
      <c r="D174" s="127" t="s">
        <v>144</v>
      </c>
      <c r="E174" s="128" t="s">
        <v>2007</v>
      </c>
      <c r="F174" s="129" t="s">
        <v>2006</v>
      </c>
      <c r="G174" s="130" t="s">
        <v>193</v>
      </c>
      <c r="H174" s="131">
        <v>20</v>
      </c>
      <c r="I174" s="132">
        <v>784</v>
      </c>
      <c r="J174" s="132">
        <f t="shared" si="10"/>
        <v>15680</v>
      </c>
      <c r="K174" s="129" t="s">
        <v>148</v>
      </c>
      <c r="L174" s="27"/>
      <c r="M174" s="133" t="s">
        <v>1</v>
      </c>
      <c r="N174" s="134" t="s">
        <v>39</v>
      </c>
      <c r="O174" s="135">
        <v>0.57399999999999995</v>
      </c>
      <c r="P174" s="135">
        <f t="shared" si="11"/>
        <v>11.479999999999999</v>
      </c>
      <c r="Q174" s="135">
        <v>3.0799999999999998E-3</v>
      </c>
      <c r="R174" s="135">
        <f t="shared" si="12"/>
        <v>6.1599999999999995E-2</v>
      </c>
      <c r="S174" s="135">
        <v>0</v>
      </c>
      <c r="T174" s="136">
        <f t="shared" si="13"/>
        <v>0</v>
      </c>
      <c r="AR174" s="137" t="s">
        <v>206</v>
      </c>
      <c r="AT174" s="137" t="s">
        <v>144</v>
      </c>
      <c r="AU174" s="137" t="s">
        <v>143</v>
      </c>
      <c r="AY174" s="15" t="s">
        <v>141</v>
      </c>
      <c r="BE174" s="138">
        <f t="shared" si="14"/>
        <v>0</v>
      </c>
      <c r="BF174" s="138">
        <f t="shared" si="15"/>
        <v>15680</v>
      </c>
      <c r="BG174" s="138">
        <f t="shared" si="16"/>
        <v>0</v>
      </c>
      <c r="BH174" s="138">
        <f t="shared" si="17"/>
        <v>0</v>
      </c>
      <c r="BI174" s="138">
        <f t="shared" si="18"/>
        <v>0</v>
      </c>
      <c r="BJ174" s="15" t="s">
        <v>143</v>
      </c>
      <c r="BK174" s="138">
        <f t="shared" si="19"/>
        <v>15680</v>
      </c>
      <c r="BL174" s="15" t="s">
        <v>206</v>
      </c>
      <c r="BM174" s="137" t="s">
        <v>2005</v>
      </c>
    </row>
    <row r="175" spans="2:65" s="1" customFormat="1" ht="21.75" customHeight="1">
      <c r="B175" s="126"/>
      <c r="C175" s="127" t="s">
        <v>236</v>
      </c>
      <c r="D175" s="127" t="s">
        <v>144</v>
      </c>
      <c r="E175" s="128" t="s">
        <v>2004</v>
      </c>
      <c r="F175" s="129" t="s">
        <v>2003</v>
      </c>
      <c r="G175" s="130" t="s">
        <v>193</v>
      </c>
      <c r="H175" s="131">
        <v>75</v>
      </c>
      <c r="I175" s="132">
        <v>420</v>
      </c>
      <c r="J175" s="132">
        <f t="shared" si="10"/>
        <v>31500</v>
      </c>
      <c r="K175" s="129" t="s">
        <v>148</v>
      </c>
      <c r="L175" s="27"/>
      <c r="M175" s="133" t="s">
        <v>1</v>
      </c>
      <c r="N175" s="134" t="s">
        <v>39</v>
      </c>
      <c r="O175" s="135">
        <v>0.36299999999999999</v>
      </c>
      <c r="P175" s="135">
        <f t="shared" si="11"/>
        <v>27.224999999999998</v>
      </c>
      <c r="Q175" s="135">
        <v>1.42E-3</v>
      </c>
      <c r="R175" s="135">
        <f t="shared" si="12"/>
        <v>0.1065</v>
      </c>
      <c r="S175" s="135">
        <v>0</v>
      </c>
      <c r="T175" s="136">
        <f t="shared" si="13"/>
        <v>0</v>
      </c>
      <c r="AR175" s="137" t="s">
        <v>206</v>
      </c>
      <c r="AT175" s="137" t="s">
        <v>144</v>
      </c>
      <c r="AU175" s="137" t="s">
        <v>143</v>
      </c>
      <c r="AY175" s="15" t="s">
        <v>141</v>
      </c>
      <c r="BE175" s="138">
        <f t="shared" si="14"/>
        <v>0</v>
      </c>
      <c r="BF175" s="138">
        <f t="shared" si="15"/>
        <v>31500</v>
      </c>
      <c r="BG175" s="138">
        <f t="shared" si="16"/>
        <v>0</v>
      </c>
      <c r="BH175" s="138">
        <f t="shared" si="17"/>
        <v>0</v>
      </c>
      <c r="BI175" s="138">
        <f t="shared" si="18"/>
        <v>0</v>
      </c>
      <c r="BJ175" s="15" t="s">
        <v>143</v>
      </c>
      <c r="BK175" s="138">
        <f t="shared" si="19"/>
        <v>31500</v>
      </c>
      <c r="BL175" s="15" t="s">
        <v>206</v>
      </c>
      <c r="BM175" s="137" t="s">
        <v>2002</v>
      </c>
    </row>
    <row r="176" spans="2:65" s="1" customFormat="1" ht="21.75" customHeight="1">
      <c r="B176" s="126"/>
      <c r="C176" s="127" t="s">
        <v>240</v>
      </c>
      <c r="D176" s="127" t="s">
        <v>144</v>
      </c>
      <c r="E176" s="128" t="s">
        <v>2001</v>
      </c>
      <c r="F176" s="129" t="s">
        <v>2000</v>
      </c>
      <c r="G176" s="130" t="s">
        <v>193</v>
      </c>
      <c r="H176" s="131">
        <v>120</v>
      </c>
      <c r="I176" s="132">
        <v>577</v>
      </c>
      <c r="J176" s="132">
        <f t="shared" si="10"/>
        <v>69240</v>
      </c>
      <c r="K176" s="129" t="s">
        <v>148</v>
      </c>
      <c r="L176" s="27"/>
      <c r="M176" s="133" t="s">
        <v>1</v>
      </c>
      <c r="N176" s="134" t="s">
        <v>39</v>
      </c>
      <c r="O176" s="135">
        <v>0.38300000000000001</v>
      </c>
      <c r="P176" s="135">
        <f t="shared" si="11"/>
        <v>45.96</v>
      </c>
      <c r="Q176" s="135">
        <v>7.4400000000000004E-3</v>
      </c>
      <c r="R176" s="135">
        <f t="shared" si="12"/>
        <v>0.89280000000000004</v>
      </c>
      <c r="S176" s="135">
        <v>0</v>
      </c>
      <c r="T176" s="136">
        <f t="shared" si="13"/>
        <v>0</v>
      </c>
      <c r="AR176" s="137" t="s">
        <v>206</v>
      </c>
      <c r="AT176" s="137" t="s">
        <v>144</v>
      </c>
      <c r="AU176" s="137" t="s">
        <v>143</v>
      </c>
      <c r="AY176" s="15" t="s">
        <v>141</v>
      </c>
      <c r="BE176" s="138">
        <f t="shared" si="14"/>
        <v>0</v>
      </c>
      <c r="BF176" s="138">
        <f t="shared" si="15"/>
        <v>69240</v>
      </c>
      <c r="BG176" s="138">
        <f t="shared" si="16"/>
        <v>0</v>
      </c>
      <c r="BH176" s="138">
        <f t="shared" si="17"/>
        <v>0</v>
      </c>
      <c r="BI176" s="138">
        <f t="shared" si="18"/>
        <v>0</v>
      </c>
      <c r="BJ176" s="15" t="s">
        <v>143</v>
      </c>
      <c r="BK176" s="138">
        <f t="shared" si="19"/>
        <v>69240</v>
      </c>
      <c r="BL176" s="15" t="s">
        <v>206</v>
      </c>
      <c r="BM176" s="137" t="s">
        <v>1999</v>
      </c>
    </row>
    <row r="177" spans="2:65" s="1" customFormat="1" ht="21.75" customHeight="1">
      <c r="B177" s="126"/>
      <c r="C177" s="127" t="s">
        <v>244</v>
      </c>
      <c r="D177" s="127" t="s">
        <v>144</v>
      </c>
      <c r="E177" s="128" t="s">
        <v>1998</v>
      </c>
      <c r="F177" s="129" t="s">
        <v>1997</v>
      </c>
      <c r="G177" s="130" t="s">
        <v>193</v>
      </c>
      <c r="H177" s="131">
        <v>30</v>
      </c>
      <c r="I177" s="132">
        <v>687</v>
      </c>
      <c r="J177" s="132">
        <f t="shared" si="10"/>
        <v>20610</v>
      </c>
      <c r="K177" s="129" t="s">
        <v>148</v>
      </c>
      <c r="L177" s="27"/>
      <c r="M177" s="133" t="s">
        <v>1</v>
      </c>
      <c r="N177" s="134" t="s">
        <v>39</v>
      </c>
      <c r="O177" s="135">
        <v>0.40400000000000003</v>
      </c>
      <c r="P177" s="135">
        <f t="shared" si="11"/>
        <v>12.120000000000001</v>
      </c>
      <c r="Q177" s="135">
        <v>1.2319999999999999E-2</v>
      </c>
      <c r="R177" s="135">
        <f t="shared" si="12"/>
        <v>0.36959999999999998</v>
      </c>
      <c r="S177" s="135">
        <v>0</v>
      </c>
      <c r="T177" s="136">
        <f t="shared" si="13"/>
        <v>0</v>
      </c>
      <c r="AR177" s="137" t="s">
        <v>206</v>
      </c>
      <c r="AT177" s="137" t="s">
        <v>144</v>
      </c>
      <c r="AU177" s="137" t="s">
        <v>143</v>
      </c>
      <c r="AY177" s="15" t="s">
        <v>141</v>
      </c>
      <c r="BE177" s="138">
        <f t="shared" si="14"/>
        <v>0</v>
      </c>
      <c r="BF177" s="138">
        <f t="shared" si="15"/>
        <v>20610</v>
      </c>
      <c r="BG177" s="138">
        <f t="shared" si="16"/>
        <v>0</v>
      </c>
      <c r="BH177" s="138">
        <f t="shared" si="17"/>
        <v>0</v>
      </c>
      <c r="BI177" s="138">
        <f t="shared" si="18"/>
        <v>0</v>
      </c>
      <c r="BJ177" s="15" t="s">
        <v>143</v>
      </c>
      <c r="BK177" s="138">
        <f t="shared" si="19"/>
        <v>20610</v>
      </c>
      <c r="BL177" s="15" t="s">
        <v>206</v>
      </c>
      <c r="BM177" s="137" t="s">
        <v>1996</v>
      </c>
    </row>
    <row r="178" spans="2:65" s="1" customFormat="1" ht="21.75" customHeight="1">
      <c r="B178" s="126"/>
      <c r="C178" s="127" t="s">
        <v>249</v>
      </c>
      <c r="D178" s="127" t="s">
        <v>144</v>
      </c>
      <c r="E178" s="128" t="s">
        <v>1995</v>
      </c>
      <c r="F178" s="129" t="s">
        <v>1994</v>
      </c>
      <c r="G178" s="130" t="s">
        <v>193</v>
      </c>
      <c r="H178" s="131">
        <v>40</v>
      </c>
      <c r="I178" s="132">
        <v>1040</v>
      </c>
      <c r="J178" s="132">
        <f t="shared" si="10"/>
        <v>41600</v>
      </c>
      <c r="K178" s="129" t="s">
        <v>148</v>
      </c>
      <c r="L178" s="27"/>
      <c r="M178" s="133" t="s">
        <v>1</v>
      </c>
      <c r="N178" s="134" t="s">
        <v>39</v>
      </c>
      <c r="O178" s="135">
        <v>0.42499999999999999</v>
      </c>
      <c r="P178" s="135">
        <f t="shared" si="11"/>
        <v>17</v>
      </c>
      <c r="Q178" s="135">
        <v>1.975E-2</v>
      </c>
      <c r="R178" s="135">
        <f t="shared" si="12"/>
        <v>0.79</v>
      </c>
      <c r="S178" s="135">
        <v>0</v>
      </c>
      <c r="T178" s="136">
        <f t="shared" si="13"/>
        <v>0</v>
      </c>
      <c r="AR178" s="137" t="s">
        <v>206</v>
      </c>
      <c r="AT178" s="137" t="s">
        <v>144</v>
      </c>
      <c r="AU178" s="137" t="s">
        <v>143</v>
      </c>
      <c r="AY178" s="15" t="s">
        <v>141</v>
      </c>
      <c r="BE178" s="138">
        <f t="shared" si="14"/>
        <v>0</v>
      </c>
      <c r="BF178" s="138">
        <f t="shared" si="15"/>
        <v>41600</v>
      </c>
      <c r="BG178" s="138">
        <f t="shared" si="16"/>
        <v>0</v>
      </c>
      <c r="BH178" s="138">
        <f t="shared" si="17"/>
        <v>0</v>
      </c>
      <c r="BI178" s="138">
        <f t="shared" si="18"/>
        <v>0</v>
      </c>
      <c r="BJ178" s="15" t="s">
        <v>143</v>
      </c>
      <c r="BK178" s="138">
        <f t="shared" si="19"/>
        <v>41600</v>
      </c>
      <c r="BL178" s="15" t="s">
        <v>206</v>
      </c>
      <c r="BM178" s="137" t="s">
        <v>1993</v>
      </c>
    </row>
    <row r="179" spans="2:65" s="1" customFormat="1" ht="24.2" customHeight="1">
      <c r="B179" s="126"/>
      <c r="C179" s="127" t="s">
        <v>253</v>
      </c>
      <c r="D179" s="127" t="s">
        <v>144</v>
      </c>
      <c r="E179" s="128" t="s">
        <v>1992</v>
      </c>
      <c r="F179" s="129" t="s">
        <v>1991</v>
      </c>
      <c r="G179" s="130" t="s">
        <v>193</v>
      </c>
      <c r="H179" s="131">
        <v>20</v>
      </c>
      <c r="I179" s="132">
        <v>566</v>
      </c>
      <c r="J179" s="132">
        <f t="shared" si="10"/>
        <v>11320</v>
      </c>
      <c r="K179" s="129" t="s">
        <v>148</v>
      </c>
      <c r="L179" s="27"/>
      <c r="M179" s="133" t="s">
        <v>1</v>
      </c>
      <c r="N179" s="134" t="s">
        <v>39</v>
      </c>
      <c r="O179" s="135">
        <v>0.78</v>
      </c>
      <c r="P179" s="135">
        <f t="shared" si="11"/>
        <v>15.600000000000001</v>
      </c>
      <c r="Q179" s="135">
        <v>5.9000000000000003E-4</v>
      </c>
      <c r="R179" s="135">
        <f t="shared" si="12"/>
        <v>1.1800000000000001E-2</v>
      </c>
      <c r="S179" s="135">
        <v>0</v>
      </c>
      <c r="T179" s="136">
        <f t="shared" si="13"/>
        <v>0</v>
      </c>
      <c r="AR179" s="137" t="s">
        <v>206</v>
      </c>
      <c r="AT179" s="137" t="s">
        <v>144</v>
      </c>
      <c r="AU179" s="137" t="s">
        <v>143</v>
      </c>
      <c r="AY179" s="15" t="s">
        <v>141</v>
      </c>
      <c r="BE179" s="138">
        <f t="shared" si="14"/>
        <v>0</v>
      </c>
      <c r="BF179" s="138">
        <f t="shared" si="15"/>
        <v>11320</v>
      </c>
      <c r="BG179" s="138">
        <f t="shared" si="16"/>
        <v>0</v>
      </c>
      <c r="BH179" s="138">
        <f t="shared" si="17"/>
        <v>0</v>
      </c>
      <c r="BI179" s="138">
        <f t="shared" si="18"/>
        <v>0</v>
      </c>
      <c r="BJ179" s="15" t="s">
        <v>143</v>
      </c>
      <c r="BK179" s="138">
        <f t="shared" si="19"/>
        <v>11320</v>
      </c>
      <c r="BL179" s="15" t="s">
        <v>206</v>
      </c>
      <c r="BM179" s="137" t="s">
        <v>1990</v>
      </c>
    </row>
    <row r="180" spans="2:65" s="1" customFormat="1" ht="21.75" customHeight="1">
      <c r="B180" s="126"/>
      <c r="C180" s="127" t="s">
        <v>257</v>
      </c>
      <c r="D180" s="127" t="s">
        <v>144</v>
      </c>
      <c r="E180" s="128" t="s">
        <v>1989</v>
      </c>
      <c r="F180" s="129" t="s">
        <v>1988</v>
      </c>
      <c r="G180" s="130" t="s">
        <v>193</v>
      </c>
      <c r="H180" s="131">
        <v>30</v>
      </c>
      <c r="I180" s="132">
        <v>468</v>
      </c>
      <c r="J180" s="132">
        <f t="shared" si="10"/>
        <v>14040</v>
      </c>
      <c r="K180" s="129" t="s">
        <v>148</v>
      </c>
      <c r="L180" s="27"/>
      <c r="M180" s="133" t="s">
        <v>1</v>
      </c>
      <c r="N180" s="134" t="s">
        <v>39</v>
      </c>
      <c r="O180" s="135">
        <v>0.65900000000000003</v>
      </c>
      <c r="P180" s="135">
        <f t="shared" si="11"/>
        <v>19.77</v>
      </c>
      <c r="Q180" s="135">
        <v>4.0999999999999999E-4</v>
      </c>
      <c r="R180" s="135">
        <f t="shared" si="12"/>
        <v>1.23E-2</v>
      </c>
      <c r="S180" s="135">
        <v>0</v>
      </c>
      <c r="T180" s="136">
        <f t="shared" si="13"/>
        <v>0</v>
      </c>
      <c r="AR180" s="137" t="s">
        <v>206</v>
      </c>
      <c r="AT180" s="137" t="s">
        <v>144</v>
      </c>
      <c r="AU180" s="137" t="s">
        <v>143</v>
      </c>
      <c r="AY180" s="15" t="s">
        <v>141</v>
      </c>
      <c r="BE180" s="138">
        <f t="shared" si="14"/>
        <v>0</v>
      </c>
      <c r="BF180" s="138">
        <f t="shared" si="15"/>
        <v>14040</v>
      </c>
      <c r="BG180" s="138">
        <f t="shared" si="16"/>
        <v>0</v>
      </c>
      <c r="BH180" s="138">
        <f t="shared" si="17"/>
        <v>0</v>
      </c>
      <c r="BI180" s="138">
        <f t="shared" si="18"/>
        <v>0</v>
      </c>
      <c r="BJ180" s="15" t="s">
        <v>143</v>
      </c>
      <c r="BK180" s="138">
        <f t="shared" si="19"/>
        <v>14040</v>
      </c>
      <c r="BL180" s="15" t="s">
        <v>206</v>
      </c>
      <c r="BM180" s="137" t="s">
        <v>1987</v>
      </c>
    </row>
    <row r="181" spans="2:65" s="1" customFormat="1" ht="21.75" customHeight="1">
      <c r="B181" s="126"/>
      <c r="C181" s="127" t="s">
        <v>261</v>
      </c>
      <c r="D181" s="127" t="s">
        <v>144</v>
      </c>
      <c r="E181" s="128" t="s">
        <v>1986</v>
      </c>
      <c r="F181" s="129" t="s">
        <v>1985</v>
      </c>
      <c r="G181" s="130" t="s">
        <v>193</v>
      </c>
      <c r="H181" s="131">
        <v>20</v>
      </c>
      <c r="I181" s="132">
        <v>509</v>
      </c>
      <c r="J181" s="132">
        <f t="shared" si="10"/>
        <v>10180</v>
      </c>
      <c r="K181" s="129" t="s">
        <v>148</v>
      </c>
      <c r="L181" s="27"/>
      <c r="M181" s="133" t="s">
        <v>1</v>
      </c>
      <c r="N181" s="134" t="s">
        <v>39</v>
      </c>
      <c r="O181" s="135">
        <v>0.72799999999999998</v>
      </c>
      <c r="P181" s="135">
        <f t="shared" si="11"/>
        <v>14.559999999999999</v>
      </c>
      <c r="Q181" s="135">
        <v>4.8000000000000001E-4</v>
      </c>
      <c r="R181" s="135">
        <f t="shared" si="12"/>
        <v>9.6000000000000009E-3</v>
      </c>
      <c r="S181" s="135">
        <v>0</v>
      </c>
      <c r="T181" s="136">
        <f t="shared" si="13"/>
        <v>0</v>
      </c>
      <c r="AR181" s="137" t="s">
        <v>206</v>
      </c>
      <c r="AT181" s="137" t="s">
        <v>144</v>
      </c>
      <c r="AU181" s="137" t="s">
        <v>143</v>
      </c>
      <c r="AY181" s="15" t="s">
        <v>141</v>
      </c>
      <c r="BE181" s="138">
        <f t="shared" si="14"/>
        <v>0</v>
      </c>
      <c r="BF181" s="138">
        <f t="shared" si="15"/>
        <v>10180</v>
      </c>
      <c r="BG181" s="138">
        <f t="shared" si="16"/>
        <v>0</v>
      </c>
      <c r="BH181" s="138">
        <f t="shared" si="17"/>
        <v>0</v>
      </c>
      <c r="BI181" s="138">
        <f t="shared" si="18"/>
        <v>0</v>
      </c>
      <c r="BJ181" s="15" t="s">
        <v>143</v>
      </c>
      <c r="BK181" s="138">
        <f t="shared" si="19"/>
        <v>10180</v>
      </c>
      <c r="BL181" s="15" t="s">
        <v>206</v>
      </c>
      <c r="BM181" s="137" t="s">
        <v>1984</v>
      </c>
    </row>
    <row r="182" spans="2:65" s="1" customFormat="1" ht="37.9" customHeight="1">
      <c r="B182" s="126"/>
      <c r="C182" s="127" t="s">
        <v>270</v>
      </c>
      <c r="D182" s="127" t="s">
        <v>144</v>
      </c>
      <c r="E182" s="128" t="s">
        <v>1983</v>
      </c>
      <c r="F182" s="129" t="s">
        <v>1982</v>
      </c>
      <c r="G182" s="130" t="s">
        <v>147</v>
      </c>
      <c r="H182" s="131">
        <v>5</v>
      </c>
      <c r="I182" s="132">
        <v>534</v>
      </c>
      <c r="J182" s="132">
        <f t="shared" si="10"/>
        <v>2670</v>
      </c>
      <c r="K182" s="129" t="s">
        <v>148</v>
      </c>
      <c r="L182" s="27"/>
      <c r="M182" s="133" t="s">
        <v>1</v>
      </c>
      <c r="N182" s="134" t="s">
        <v>39</v>
      </c>
      <c r="O182" s="135">
        <v>8.4000000000000005E-2</v>
      </c>
      <c r="P182" s="135">
        <f t="shared" si="11"/>
        <v>0.42000000000000004</v>
      </c>
      <c r="Q182" s="135">
        <v>1.4999999999999999E-4</v>
      </c>
      <c r="R182" s="135">
        <f t="shared" si="12"/>
        <v>7.4999999999999991E-4</v>
      </c>
      <c r="S182" s="135">
        <v>0</v>
      </c>
      <c r="T182" s="136">
        <f t="shared" si="13"/>
        <v>0</v>
      </c>
      <c r="AR182" s="137" t="s">
        <v>206</v>
      </c>
      <c r="AT182" s="137" t="s">
        <v>144</v>
      </c>
      <c r="AU182" s="137" t="s">
        <v>143</v>
      </c>
      <c r="AY182" s="15" t="s">
        <v>141</v>
      </c>
      <c r="BE182" s="138">
        <f t="shared" si="14"/>
        <v>0</v>
      </c>
      <c r="BF182" s="138">
        <f t="shared" si="15"/>
        <v>2670</v>
      </c>
      <c r="BG182" s="138">
        <f t="shared" si="16"/>
        <v>0</v>
      </c>
      <c r="BH182" s="138">
        <f t="shared" si="17"/>
        <v>0</v>
      </c>
      <c r="BI182" s="138">
        <f t="shared" si="18"/>
        <v>0</v>
      </c>
      <c r="BJ182" s="15" t="s">
        <v>143</v>
      </c>
      <c r="BK182" s="138">
        <f t="shared" si="19"/>
        <v>2670</v>
      </c>
      <c r="BL182" s="15" t="s">
        <v>206</v>
      </c>
      <c r="BM182" s="137" t="s">
        <v>1981</v>
      </c>
    </row>
    <row r="183" spans="2:65" s="1" customFormat="1" ht="24.2" customHeight="1">
      <c r="B183" s="126"/>
      <c r="C183" s="127" t="s">
        <v>274</v>
      </c>
      <c r="D183" s="127" t="s">
        <v>144</v>
      </c>
      <c r="E183" s="128" t="s">
        <v>1980</v>
      </c>
      <c r="F183" s="129" t="s">
        <v>1979</v>
      </c>
      <c r="G183" s="130" t="s">
        <v>147</v>
      </c>
      <c r="H183" s="131">
        <v>28</v>
      </c>
      <c r="I183" s="132">
        <v>83.9</v>
      </c>
      <c r="J183" s="132">
        <f t="shared" si="10"/>
        <v>2349.1999999999998</v>
      </c>
      <c r="K183" s="129" t="s">
        <v>148</v>
      </c>
      <c r="L183" s="27"/>
      <c r="M183" s="133" t="s">
        <v>1</v>
      </c>
      <c r="N183" s="134" t="s">
        <v>39</v>
      </c>
      <c r="O183" s="135">
        <v>0.157</v>
      </c>
      <c r="P183" s="135">
        <f t="shared" si="11"/>
        <v>4.3959999999999999</v>
      </c>
      <c r="Q183" s="135">
        <v>0</v>
      </c>
      <c r="R183" s="135">
        <f t="shared" si="12"/>
        <v>0</v>
      </c>
      <c r="S183" s="135">
        <v>0</v>
      </c>
      <c r="T183" s="136">
        <f t="shared" si="13"/>
        <v>0</v>
      </c>
      <c r="AR183" s="137" t="s">
        <v>206</v>
      </c>
      <c r="AT183" s="137" t="s">
        <v>144</v>
      </c>
      <c r="AU183" s="137" t="s">
        <v>143</v>
      </c>
      <c r="AY183" s="15" t="s">
        <v>141</v>
      </c>
      <c r="BE183" s="138">
        <f t="shared" si="14"/>
        <v>0</v>
      </c>
      <c r="BF183" s="138">
        <f t="shared" si="15"/>
        <v>2349.1999999999998</v>
      </c>
      <c r="BG183" s="138">
        <f t="shared" si="16"/>
        <v>0</v>
      </c>
      <c r="BH183" s="138">
        <f t="shared" si="17"/>
        <v>0</v>
      </c>
      <c r="BI183" s="138">
        <f t="shared" si="18"/>
        <v>0</v>
      </c>
      <c r="BJ183" s="15" t="s">
        <v>143</v>
      </c>
      <c r="BK183" s="138">
        <f t="shared" si="19"/>
        <v>2349.1999999999998</v>
      </c>
      <c r="BL183" s="15" t="s">
        <v>206</v>
      </c>
      <c r="BM183" s="137" t="s">
        <v>1978</v>
      </c>
    </row>
    <row r="184" spans="2:65" s="1" customFormat="1" ht="24.2" customHeight="1">
      <c r="B184" s="126"/>
      <c r="C184" s="127" t="s">
        <v>278</v>
      </c>
      <c r="D184" s="127" t="s">
        <v>144</v>
      </c>
      <c r="E184" s="128" t="s">
        <v>1977</v>
      </c>
      <c r="F184" s="129" t="s">
        <v>1976</v>
      </c>
      <c r="G184" s="130" t="s">
        <v>147</v>
      </c>
      <c r="H184" s="131">
        <v>13</v>
      </c>
      <c r="I184" s="132">
        <v>92.9</v>
      </c>
      <c r="J184" s="132">
        <f t="shared" si="10"/>
        <v>1207.7</v>
      </c>
      <c r="K184" s="129" t="s">
        <v>148</v>
      </c>
      <c r="L184" s="27"/>
      <c r="M184" s="133" t="s">
        <v>1</v>
      </c>
      <c r="N184" s="134" t="s">
        <v>39</v>
      </c>
      <c r="O184" s="135">
        <v>0.17399999999999999</v>
      </c>
      <c r="P184" s="135">
        <f t="shared" si="11"/>
        <v>2.262</v>
      </c>
      <c r="Q184" s="135">
        <v>0</v>
      </c>
      <c r="R184" s="135">
        <f t="shared" si="12"/>
        <v>0</v>
      </c>
      <c r="S184" s="135">
        <v>0</v>
      </c>
      <c r="T184" s="136">
        <f t="shared" si="13"/>
        <v>0</v>
      </c>
      <c r="AR184" s="137" t="s">
        <v>206</v>
      </c>
      <c r="AT184" s="137" t="s">
        <v>144</v>
      </c>
      <c r="AU184" s="137" t="s">
        <v>143</v>
      </c>
      <c r="AY184" s="15" t="s">
        <v>141</v>
      </c>
      <c r="BE184" s="138">
        <f t="shared" si="14"/>
        <v>0</v>
      </c>
      <c r="BF184" s="138">
        <f t="shared" si="15"/>
        <v>1207.7</v>
      </c>
      <c r="BG184" s="138">
        <f t="shared" si="16"/>
        <v>0</v>
      </c>
      <c r="BH184" s="138">
        <f t="shared" si="17"/>
        <v>0</v>
      </c>
      <c r="BI184" s="138">
        <f t="shared" si="18"/>
        <v>0</v>
      </c>
      <c r="BJ184" s="15" t="s">
        <v>143</v>
      </c>
      <c r="BK184" s="138">
        <f t="shared" si="19"/>
        <v>1207.7</v>
      </c>
      <c r="BL184" s="15" t="s">
        <v>206</v>
      </c>
      <c r="BM184" s="137" t="s">
        <v>1975</v>
      </c>
    </row>
    <row r="185" spans="2:65" s="1" customFormat="1" ht="24.2" customHeight="1">
      <c r="B185" s="126"/>
      <c r="C185" s="127" t="s">
        <v>282</v>
      </c>
      <c r="D185" s="127" t="s">
        <v>144</v>
      </c>
      <c r="E185" s="128" t="s">
        <v>1974</v>
      </c>
      <c r="F185" s="129" t="s">
        <v>1973</v>
      </c>
      <c r="G185" s="130" t="s">
        <v>147</v>
      </c>
      <c r="H185" s="131">
        <v>10</v>
      </c>
      <c r="I185" s="132">
        <v>138</v>
      </c>
      <c r="J185" s="132">
        <f t="shared" si="10"/>
        <v>1380</v>
      </c>
      <c r="K185" s="129" t="s">
        <v>148</v>
      </c>
      <c r="L185" s="27"/>
      <c r="M185" s="133" t="s">
        <v>1</v>
      </c>
      <c r="N185" s="134" t="s">
        <v>39</v>
      </c>
      <c r="O185" s="135">
        <v>0.25900000000000001</v>
      </c>
      <c r="P185" s="135">
        <f t="shared" si="11"/>
        <v>2.59</v>
      </c>
      <c r="Q185" s="135">
        <v>0</v>
      </c>
      <c r="R185" s="135">
        <f t="shared" si="12"/>
        <v>0</v>
      </c>
      <c r="S185" s="135">
        <v>0</v>
      </c>
      <c r="T185" s="136">
        <f t="shared" si="13"/>
        <v>0</v>
      </c>
      <c r="AR185" s="137" t="s">
        <v>206</v>
      </c>
      <c r="AT185" s="137" t="s">
        <v>144</v>
      </c>
      <c r="AU185" s="137" t="s">
        <v>143</v>
      </c>
      <c r="AY185" s="15" t="s">
        <v>141</v>
      </c>
      <c r="BE185" s="138">
        <f t="shared" si="14"/>
        <v>0</v>
      </c>
      <c r="BF185" s="138">
        <f t="shared" si="15"/>
        <v>1380</v>
      </c>
      <c r="BG185" s="138">
        <f t="shared" si="16"/>
        <v>0</v>
      </c>
      <c r="BH185" s="138">
        <f t="shared" si="17"/>
        <v>0</v>
      </c>
      <c r="BI185" s="138">
        <f t="shared" si="18"/>
        <v>0</v>
      </c>
      <c r="BJ185" s="15" t="s">
        <v>143</v>
      </c>
      <c r="BK185" s="138">
        <f t="shared" si="19"/>
        <v>1380</v>
      </c>
      <c r="BL185" s="15" t="s">
        <v>206</v>
      </c>
      <c r="BM185" s="137" t="s">
        <v>1972</v>
      </c>
    </row>
    <row r="186" spans="2:65" s="1" customFormat="1" ht="24.2" customHeight="1">
      <c r="B186" s="126"/>
      <c r="C186" s="127" t="s">
        <v>286</v>
      </c>
      <c r="D186" s="127" t="s">
        <v>144</v>
      </c>
      <c r="E186" s="128" t="s">
        <v>1971</v>
      </c>
      <c r="F186" s="129" t="s">
        <v>1970</v>
      </c>
      <c r="G186" s="130" t="s">
        <v>147</v>
      </c>
      <c r="H186" s="131">
        <v>5</v>
      </c>
      <c r="I186" s="132">
        <v>1390</v>
      </c>
      <c r="J186" s="132">
        <f t="shared" si="10"/>
        <v>6950</v>
      </c>
      <c r="K186" s="129" t="s">
        <v>148</v>
      </c>
      <c r="L186" s="27"/>
      <c r="M186" s="133" t="s">
        <v>1</v>
      </c>
      <c r="N186" s="134" t="s">
        <v>39</v>
      </c>
      <c r="O186" s="135">
        <v>0.46500000000000002</v>
      </c>
      <c r="P186" s="135">
        <f t="shared" si="11"/>
        <v>2.3250000000000002</v>
      </c>
      <c r="Q186" s="135">
        <v>1.1199999999999999E-3</v>
      </c>
      <c r="R186" s="135">
        <f t="shared" si="12"/>
        <v>5.5999999999999991E-3</v>
      </c>
      <c r="S186" s="135">
        <v>0</v>
      </c>
      <c r="T186" s="136">
        <f t="shared" si="13"/>
        <v>0</v>
      </c>
      <c r="AR186" s="137" t="s">
        <v>206</v>
      </c>
      <c r="AT186" s="137" t="s">
        <v>144</v>
      </c>
      <c r="AU186" s="137" t="s">
        <v>143</v>
      </c>
      <c r="AY186" s="15" t="s">
        <v>141</v>
      </c>
      <c r="BE186" s="138">
        <f t="shared" si="14"/>
        <v>0</v>
      </c>
      <c r="BF186" s="138">
        <f t="shared" si="15"/>
        <v>6950</v>
      </c>
      <c r="BG186" s="138">
        <f t="shared" si="16"/>
        <v>0</v>
      </c>
      <c r="BH186" s="138">
        <f t="shared" si="17"/>
        <v>0</v>
      </c>
      <c r="BI186" s="138">
        <f t="shared" si="18"/>
        <v>0</v>
      </c>
      <c r="BJ186" s="15" t="s">
        <v>143</v>
      </c>
      <c r="BK186" s="138">
        <f t="shared" si="19"/>
        <v>6950</v>
      </c>
      <c r="BL186" s="15" t="s">
        <v>206</v>
      </c>
      <c r="BM186" s="137" t="s">
        <v>1969</v>
      </c>
    </row>
    <row r="187" spans="2:65" s="1" customFormat="1" ht="24.2" customHeight="1">
      <c r="B187" s="126"/>
      <c r="C187" s="127" t="s">
        <v>290</v>
      </c>
      <c r="D187" s="127" t="s">
        <v>144</v>
      </c>
      <c r="E187" s="128" t="s">
        <v>1968</v>
      </c>
      <c r="F187" s="129" t="s">
        <v>1967</v>
      </c>
      <c r="G187" s="130" t="s">
        <v>147</v>
      </c>
      <c r="H187" s="131">
        <v>5</v>
      </c>
      <c r="I187" s="132">
        <v>2840</v>
      </c>
      <c r="J187" s="132">
        <f t="shared" si="10"/>
        <v>14200</v>
      </c>
      <c r="K187" s="129" t="s">
        <v>148</v>
      </c>
      <c r="L187" s="27"/>
      <c r="M187" s="133" t="s">
        <v>1</v>
      </c>
      <c r="N187" s="134" t="s">
        <v>39</v>
      </c>
      <c r="O187" s="135">
        <v>0.46500000000000002</v>
      </c>
      <c r="P187" s="135">
        <f t="shared" si="11"/>
        <v>2.3250000000000002</v>
      </c>
      <c r="Q187" s="135">
        <v>1.48E-3</v>
      </c>
      <c r="R187" s="135">
        <f t="shared" si="12"/>
        <v>7.4000000000000003E-3</v>
      </c>
      <c r="S187" s="135">
        <v>0</v>
      </c>
      <c r="T187" s="136">
        <f t="shared" si="13"/>
        <v>0</v>
      </c>
      <c r="AR187" s="137" t="s">
        <v>206</v>
      </c>
      <c r="AT187" s="137" t="s">
        <v>144</v>
      </c>
      <c r="AU187" s="137" t="s">
        <v>143</v>
      </c>
      <c r="AY187" s="15" t="s">
        <v>141</v>
      </c>
      <c r="BE187" s="138">
        <f t="shared" si="14"/>
        <v>0</v>
      </c>
      <c r="BF187" s="138">
        <f t="shared" si="15"/>
        <v>14200</v>
      </c>
      <c r="BG187" s="138">
        <f t="shared" si="16"/>
        <v>0</v>
      </c>
      <c r="BH187" s="138">
        <f t="shared" si="17"/>
        <v>0</v>
      </c>
      <c r="BI187" s="138">
        <f t="shared" si="18"/>
        <v>0</v>
      </c>
      <c r="BJ187" s="15" t="s">
        <v>143</v>
      </c>
      <c r="BK187" s="138">
        <f t="shared" si="19"/>
        <v>14200</v>
      </c>
      <c r="BL187" s="15" t="s">
        <v>206</v>
      </c>
      <c r="BM187" s="137" t="s">
        <v>1966</v>
      </c>
    </row>
    <row r="188" spans="2:65" s="1" customFormat="1" ht="24.2" customHeight="1">
      <c r="B188" s="126"/>
      <c r="C188" s="127" t="s">
        <v>294</v>
      </c>
      <c r="D188" s="127" t="s">
        <v>144</v>
      </c>
      <c r="E188" s="128" t="s">
        <v>1965</v>
      </c>
      <c r="F188" s="129" t="s">
        <v>1964</v>
      </c>
      <c r="G188" s="130" t="s">
        <v>147</v>
      </c>
      <c r="H188" s="131">
        <v>2</v>
      </c>
      <c r="I188" s="132">
        <v>11800</v>
      </c>
      <c r="J188" s="132">
        <f t="shared" si="10"/>
        <v>23600</v>
      </c>
      <c r="K188" s="129" t="s">
        <v>148</v>
      </c>
      <c r="L188" s="27"/>
      <c r="M188" s="133" t="s">
        <v>1</v>
      </c>
      <c r="N188" s="134" t="s">
        <v>39</v>
      </c>
      <c r="O188" s="135">
        <v>2.54</v>
      </c>
      <c r="P188" s="135">
        <f t="shared" si="11"/>
        <v>5.08</v>
      </c>
      <c r="Q188" s="135">
        <v>5.9500000000000004E-3</v>
      </c>
      <c r="R188" s="135">
        <f t="shared" si="12"/>
        <v>1.1900000000000001E-2</v>
      </c>
      <c r="S188" s="135">
        <v>0</v>
      </c>
      <c r="T188" s="136">
        <f t="shared" si="13"/>
        <v>0</v>
      </c>
      <c r="AR188" s="137" t="s">
        <v>206</v>
      </c>
      <c r="AT188" s="137" t="s">
        <v>144</v>
      </c>
      <c r="AU188" s="137" t="s">
        <v>143</v>
      </c>
      <c r="AY188" s="15" t="s">
        <v>141</v>
      </c>
      <c r="BE188" s="138">
        <f t="shared" si="14"/>
        <v>0</v>
      </c>
      <c r="BF188" s="138">
        <f t="shared" si="15"/>
        <v>23600</v>
      </c>
      <c r="BG188" s="138">
        <f t="shared" si="16"/>
        <v>0</v>
      </c>
      <c r="BH188" s="138">
        <f t="shared" si="17"/>
        <v>0</v>
      </c>
      <c r="BI188" s="138">
        <f t="shared" si="18"/>
        <v>0</v>
      </c>
      <c r="BJ188" s="15" t="s">
        <v>143</v>
      </c>
      <c r="BK188" s="138">
        <f t="shared" si="19"/>
        <v>23600</v>
      </c>
      <c r="BL188" s="15" t="s">
        <v>206</v>
      </c>
      <c r="BM188" s="137" t="s">
        <v>1963</v>
      </c>
    </row>
    <row r="189" spans="2:65" s="1" customFormat="1" ht="24.2" customHeight="1">
      <c r="B189" s="126"/>
      <c r="C189" s="127" t="s">
        <v>298</v>
      </c>
      <c r="D189" s="127" t="s">
        <v>144</v>
      </c>
      <c r="E189" s="128" t="s">
        <v>1962</v>
      </c>
      <c r="F189" s="129" t="s">
        <v>1961</v>
      </c>
      <c r="G189" s="130" t="s">
        <v>147</v>
      </c>
      <c r="H189" s="131">
        <v>3</v>
      </c>
      <c r="I189" s="132">
        <v>12500</v>
      </c>
      <c r="J189" s="132">
        <f t="shared" si="10"/>
        <v>37500</v>
      </c>
      <c r="K189" s="129" t="s">
        <v>148</v>
      </c>
      <c r="L189" s="27"/>
      <c r="M189" s="133" t="s">
        <v>1</v>
      </c>
      <c r="N189" s="134" t="s">
        <v>39</v>
      </c>
      <c r="O189" s="135">
        <v>2.54</v>
      </c>
      <c r="P189" s="135">
        <f t="shared" si="11"/>
        <v>7.62</v>
      </c>
      <c r="Q189" s="135">
        <v>5.2399999999999999E-3</v>
      </c>
      <c r="R189" s="135">
        <f t="shared" si="12"/>
        <v>1.5719999999999998E-2</v>
      </c>
      <c r="S189" s="135">
        <v>0</v>
      </c>
      <c r="T189" s="136">
        <f t="shared" si="13"/>
        <v>0</v>
      </c>
      <c r="AR189" s="137" t="s">
        <v>206</v>
      </c>
      <c r="AT189" s="137" t="s">
        <v>144</v>
      </c>
      <c r="AU189" s="137" t="s">
        <v>143</v>
      </c>
      <c r="AY189" s="15" t="s">
        <v>141</v>
      </c>
      <c r="BE189" s="138">
        <f t="shared" si="14"/>
        <v>0</v>
      </c>
      <c r="BF189" s="138">
        <f t="shared" si="15"/>
        <v>37500</v>
      </c>
      <c r="BG189" s="138">
        <f t="shared" si="16"/>
        <v>0</v>
      </c>
      <c r="BH189" s="138">
        <f t="shared" si="17"/>
        <v>0</v>
      </c>
      <c r="BI189" s="138">
        <f t="shared" si="18"/>
        <v>0</v>
      </c>
      <c r="BJ189" s="15" t="s">
        <v>143</v>
      </c>
      <c r="BK189" s="138">
        <f t="shared" si="19"/>
        <v>37500</v>
      </c>
      <c r="BL189" s="15" t="s">
        <v>206</v>
      </c>
      <c r="BM189" s="137" t="s">
        <v>1960</v>
      </c>
    </row>
    <row r="190" spans="2:65" s="1" customFormat="1" ht="24.2" customHeight="1">
      <c r="B190" s="126"/>
      <c r="C190" s="127" t="s">
        <v>302</v>
      </c>
      <c r="D190" s="127" t="s">
        <v>144</v>
      </c>
      <c r="E190" s="128" t="s">
        <v>1959</v>
      </c>
      <c r="F190" s="129" t="s">
        <v>1958</v>
      </c>
      <c r="G190" s="130" t="s">
        <v>147</v>
      </c>
      <c r="H190" s="131">
        <v>15</v>
      </c>
      <c r="I190" s="132">
        <v>837</v>
      </c>
      <c r="J190" s="132">
        <f t="shared" si="10"/>
        <v>12555</v>
      </c>
      <c r="K190" s="129" t="s">
        <v>148</v>
      </c>
      <c r="L190" s="27"/>
      <c r="M190" s="133" t="s">
        <v>1</v>
      </c>
      <c r="N190" s="134" t="s">
        <v>39</v>
      </c>
      <c r="O190" s="135">
        <v>0.113</v>
      </c>
      <c r="P190" s="135">
        <f t="shared" si="11"/>
        <v>1.6950000000000001</v>
      </c>
      <c r="Q190" s="135">
        <v>3.4000000000000002E-4</v>
      </c>
      <c r="R190" s="135">
        <f t="shared" si="12"/>
        <v>5.1000000000000004E-3</v>
      </c>
      <c r="S190" s="135">
        <v>0</v>
      </c>
      <c r="T190" s="136">
        <f t="shared" si="13"/>
        <v>0</v>
      </c>
      <c r="AR190" s="137" t="s">
        <v>206</v>
      </c>
      <c r="AT190" s="137" t="s">
        <v>144</v>
      </c>
      <c r="AU190" s="137" t="s">
        <v>143</v>
      </c>
      <c r="AY190" s="15" t="s">
        <v>141</v>
      </c>
      <c r="BE190" s="138">
        <f t="shared" si="14"/>
        <v>0</v>
      </c>
      <c r="BF190" s="138">
        <f t="shared" si="15"/>
        <v>12555</v>
      </c>
      <c r="BG190" s="138">
        <f t="shared" si="16"/>
        <v>0</v>
      </c>
      <c r="BH190" s="138">
        <f t="shared" si="17"/>
        <v>0</v>
      </c>
      <c r="BI190" s="138">
        <f t="shared" si="18"/>
        <v>0</v>
      </c>
      <c r="BJ190" s="15" t="s">
        <v>143</v>
      </c>
      <c r="BK190" s="138">
        <f t="shared" si="19"/>
        <v>12555</v>
      </c>
      <c r="BL190" s="15" t="s">
        <v>206</v>
      </c>
      <c r="BM190" s="137" t="s">
        <v>1957</v>
      </c>
    </row>
    <row r="191" spans="2:65" s="1" customFormat="1" ht="33" customHeight="1">
      <c r="B191" s="126"/>
      <c r="C191" s="127" t="s">
        <v>306</v>
      </c>
      <c r="D191" s="127" t="s">
        <v>144</v>
      </c>
      <c r="E191" s="128" t="s">
        <v>1956</v>
      </c>
      <c r="F191" s="129" t="s">
        <v>1955</v>
      </c>
      <c r="G191" s="130" t="s">
        <v>147</v>
      </c>
      <c r="H191" s="131">
        <v>6</v>
      </c>
      <c r="I191" s="132">
        <v>127</v>
      </c>
      <c r="J191" s="132">
        <f t="shared" si="10"/>
        <v>762</v>
      </c>
      <c r="K191" s="129" t="s">
        <v>148</v>
      </c>
      <c r="L191" s="27"/>
      <c r="M191" s="133" t="s">
        <v>1</v>
      </c>
      <c r="N191" s="134" t="s">
        <v>39</v>
      </c>
      <c r="O191" s="135">
        <v>0.22500000000000001</v>
      </c>
      <c r="P191" s="135">
        <f t="shared" si="11"/>
        <v>1.35</v>
      </c>
      <c r="Q191" s="135">
        <v>3.0000000000000001E-5</v>
      </c>
      <c r="R191" s="135">
        <f t="shared" si="12"/>
        <v>1.8000000000000001E-4</v>
      </c>
      <c r="S191" s="135">
        <v>0</v>
      </c>
      <c r="T191" s="136">
        <f t="shared" si="13"/>
        <v>0</v>
      </c>
      <c r="AR191" s="137" t="s">
        <v>206</v>
      </c>
      <c r="AT191" s="137" t="s">
        <v>144</v>
      </c>
      <c r="AU191" s="137" t="s">
        <v>143</v>
      </c>
      <c r="AY191" s="15" t="s">
        <v>141</v>
      </c>
      <c r="BE191" s="138">
        <f t="shared" si="14"/>
        <v>0</v>
      </c>
      <c r="BF191" s="138">
        <f t="shared" si="15"/>
        <v>762</v>
      </c>
      <c r="BG191" s="138">
        <f t="shared" si="16"/>
        <v>0</v>
      </c>
      <c r="BH191" s="138">
        <f t="shared" si="17"/>
        <v>0</v>
      </c>
      <c r="BI191" s="138">
        <f t="shared" si="18"/>
        <v>0</v>
      </c>
      <c r="BJ191" s="15" t="s">
        <v>143</v>
      </c>
      <c r="BK191" s="138">
        <f t="shared" si="19"/>
        <v>762</v>
      </c>
      <c r="BL191" s="15" t="s">
        <v>206</v>
      </c>
      <c r="BM191" s="137" t="s">
        <v>1954</v>
      </c>
    </row>
    <row r="192" spans="2:65" s="1" customFormat="1" ht="37.9" customHeight="1">
      <c r="B192" s="126"/>
      <c r="C192" s="139" t="s">
        <v>310</v>
      </c>
      <c r="D192" s="139" t="s">
        <v>207</v>
      </c>
      <c r="E192" s="140" t="s">
        <v>1953</v>
      </c>
      <c r="F192" s="141" t="s">
        <v>1952</v>
      </c>
      <c r="G192" s="142" t="s">
        <v>147</v>
      </c>
      <c r="H192" s="143">
        <v>6</v>
      </c>
      <c r="I192" s="144">
        <v>2250</v>
      </c>
      <c r="J192" s="144">
        <f t="shared" si="10"/>
        <v>13500</v>
      </c>
      <c r="K192" s="141" t="s">
        <v>148</v>
      </c>
      <c r="L192" s="145"/>
      <c r="M192" s="146" t="s">
        <v>1</v>
      </c>
      <c r="N192" s="147" t="s">
        <v>39</v>
      </c>
      <c r="O192" s="135">
        <v>0</v>
      </c>
      <c r="P192" s="135">
        <f t="shared" si="11"/>
        <v>0</v>
      </c>
      <c r="Q192" s="135">
        <v>3.1099999999999999E-3</v>
      </c>
      <c r="R192" s="135">
        <f t="shared" si="12"/>
        <v>1.866E-2</v>
      </c>
      <c r="S192" s="135">
        <v>0</v>
      </c>
      <c r="T192" s="136">
        <f t="shared" si="13"/>
        <v>0</v>
      </c>
      <c r="AR192" s="137" t="s">
        <v>274</v>
      </c>
      <c r="AT192" s="137" t="s">
        <v>207</v>
      </c>
      <c r="AU192" s="137" t="s">
        <v>143</v>
      </c>
      <c r="AY192" s="15" t="s">
        <v>141</v>
      </c>
      <c r="BE192" s="138">
        <f t="shared" si="14"/>
        <v>0</v>
      </c>
      <c r="BF192" s="138">
        <f t="shared" si="15"/>
        <v>13500</v>
      </c>
      <c r="BG192" s="138">
        <f t="shared" si="16"/>
        <v>0</v>
      </c>
      <c r="BH192" s="138">
        <f t="shared" si="17"/>
        <v>0</v>
      </c>
      <c r="BI192" s="138">
        <f t="shared" si="18"/>
        <v>0</v>
      </c>
      <c r="BJ192" s="15" t="s">
        <v>143</v>
      </c>
      <c r="BK192" s="138">
        <f t="shared" si="19"/>
        <v>13500</v>
      </c>
      <c r="BL192" s="15" t="s">
        <v>206</v>
      </c>
      <c r="BM192" s="137" t="s">
        <v>1951</v>
      </c>
    </row>
    <row r="193" spans="2:65" s="1" customFormat="1" ht="24.2" customHeight="1">
      <c r="B193" s="126"/>
      <c r="C193" s="127" t="s">
        <v>314</v>
      </c>
      <c r="D193" s="127" t="s">
        <v>144</v>
      </c>
      <c r="E193" s="128" t="s">
        <v>1950</v>
      </c>
      <c r="F193" s="129" t="s">
        <v>1949</v>
      </c>
      <c r="G193" s="130" t="s">
        <v>147</v>
      </c>
      <c r="H193" s="131">
        <v>2</v>
      </c>
      <c r="I193" s="132">
        <v>3480</v>
      </c>
      <c r="J193" s="132">
        <f t="shared" si="10"/>
        <v>6960</v>
      </c>
      <c r="K193" s="129" t="s">
        <v>148</v>
      </c>
      <c r="L193" s="27"/>
      <c r="M193" s="133" t="s">
        <v>1</v>
      </c>
      <c r="N193" s="134" t="s">
        <v>39</v>
      </c>
      <c r="O193" s="135">
        <v>0.55900000000000005</v>
      </c>
      <c r="P193" s="135">
        <f t="shared" si="11"/>
        <v>1.1180000000000001</v>
      </c>
      <c r="Q193" s="135">
        <v>1.5E-3</v>
      </c>
      <c r="R193" s="135">
        <f t="shared" si="12"/>
        <v>3.0000000000000001E-3</v>
      </c>
      <c r="S193" s="135">
        <v>0</v>
      </c>
      <c r="T193" s="136">
        <f t="shared" si="13"/>
        <v>0</v>
      </c>
      <c r="AR193" s="137" t="s">
        <v>206</v>
      </c>
      <c r="AT193" s="137" t="s">
        <v>144</v>
      </c>
      <c r="AU193" s="137" t="s">
        <v>143</v>
      </c>
      <c r="AY193" s="15" t="s">
        <v>141</v>
      </c>
      <c r="BE193" s="138">
        <f t="shared" si="14"/>
        <v>0</v>
      </c>
      <c r="BF193" s="138">
        <f t="shared" si="15"/>
        <v>6960</v>
      </c>
      <c r="BG193" s="138">
        <f t="shared" si="16"/>
        <v>0</v>
      </c>
      <c r="BH193" s="138">
        <f t="shared" si="17"/>
        <v>0</v>
      </c>
      <c r="BI193" s="138">
        <f t="shared" si="18"/>
        <v>0</v>
      </c>
      <c r="BJ193" s="15" t="s">
        <v>143</v>
      </c>
      <c r="BK193" s="138">
        <f t="shared" si="19"/>
        <v>6960</v>
      </c>
      <c r="BL193" s="15" t="s">
        <v>206</v>
      </c>
      <c r="BM193" s="137" t="s">
        <v>1948</v>
      </c>
    </row>
    <row r="194" spans="2:65" s="1" customFormat="1" ht="16.5" customHeight="1">
      <c r="B194" s="126"/>
      <c r="C194" s="127" t="s">
        <v>318</v>
      </c>
      <c r="D194" s="127" t="s">
        <v>144</v>
      </c>
      <c r="E194" s="128" t="s">
        <v>1947</v>
      </c>
      <c r="F194" s="129" t="s">
        <v>1946</v>
      </c>
      <c r="G194" s="130" t="s">
        <v>147</v>
      </c>
      <c r="H194" s="131">
        <v>3</v>
      </c>
      <c r="I194" s="132">
        <v>939</v>
      </c>
      <c r="J194" s="132">
        <f t="shared" si="10"/>
        <v>2817</v>
      </c>
      <c r="K194" s="129" t="s">
        <v>148</v>
      </c>
      <c r="L194" s="27"/>
      <c r="M194" s="133" t="s">
        <v>1</v>
      </c>
      <c r="N194" s="134" t="s">
        <v>39</v>
      </c>
      <c r="O194" s="135">
        <v>0.17699999999999999</v>
      </c>
      <c r="P194" s="135">
        <f t="shared" si="11"/>
        <v>0.53099999999999992</v>
      </c>
      <c r="Q194" s="135">
        <v>2.9E-4</v>
      </c>
      <c r="R194" s="135">
        <f t="shared" si="12"/>
        <v>8.7000000000000001E-4</v>
      </c>
      <c r="S194" s="135">
        <v>0</v>
      </c>
      <c r="T194" s="136">
        <f t="shared" si="13"/>
        <v>0</v>
      </c>
      <c r="AR194" s="137" t="s">
        <v>206</v>
      </c>
      <c r="AT194" s="137" t="s">
        <v>144</v>
      </c>
      <c r="AU194" s="137" t="s">
        <v>143</v>
      </c>
      <c r="AY194" s="15" t="s">
        <v>141</v>
      </c>
      <c r="BE194" s="138">
        <f t="shared" si="14"/>
        <v>0</v>
      </c>
      <c r="BF194" s="138">
        <f t="shared" si="15"/>
        <v>2817</v>
      </c>
      <c r="BG194" s="138">
        <f t="shared" si="16"/>
        <v>0</v>
      </c>
      <c r="BH194" s="138">
        <f t="shared" si="17"/>
        <v>0</v>
      </c>
      <c r="BI194" s="138">
        <f t="shared" si="18"/>
        <v>0</v>
      </c>
      <c r="BJ194" s="15" t="s">
        <v>143</v>
      </c>
      <c r="BK194" s="138">
        <f t="shared" si="19"/>
        <v>2817</v>
      </c>
      <c r="BL194" s="15" t="s">
        <v>206</v>
      </c>
      <c r="BM194" s="137" t="s">
        <v>1945</v>
      </c>
    </row>
    <row r="195" spans="2:65" s="1" customFormat="1" ht="24.2" customHeight="1">
      <c r="B195" s="126"/>
      <c r="C195" s="127" t="s">
        <v>322</v>
      </c>
      <c r="D195" s="127" t="s">
        <v>144</v>
      </c>
      <c r="E195" s="128" t="s">
        <v>1944</v>
      </c>
      <c r="F195" s="129" t="s">
        <v>1943</v>
      </c>
      <c r="G195" s="130" t="s">
        <v>193</v>
      </c>
      <c r="H195" s="131">
        <v>415</v>
      </c>
      <c r="I195" s="132">
        <v>26.4</v>
      </c>
      <c r="J195" s="132">
        <f t="shared" si="10"/>
        <v>10956</v>
      </c>
      <c r="K195" s="129" t="s">
        <v>148</v>
      </c>
      <c r="L195" s="27"/>
      <c r="M195" s="133" t="s">
        <v>1</v>
      </c>
      <c r="N195" s="134" t="s">
        <v>39</v>
      </c>
      <c r="O195" s="135">
        <v>4.8000000000000001E-2</v>
      </c>
      <c r="P195" s="135">
        <f t="shared" si="11"/>
        <v>19.920000000000002</v>
      </c>
      <c r="Q195" s="135">
        <v>0</v>
      </c>
      <c r="R195" s="135">
        <f t="shared" si="12"/>
        <v>0</v>
      </c>
      <c r="S195" s="135">
        <v>0</v>
      </c>
      <c r="T195" s="136">
        <f t="shared" si="13"/>
        <v>0</v>
      </c>
      <c r="AR195" s="137" t="s">
        <v>206</v>
      </c>
      <c r="AT195" s="137" t="s">
        <v>144</v>
      </c>
      <c r="AU195" s="137" t="s">
        <v>143</v>
      </c>
      <c r="AY195" s="15" t="s">
        <v>141</v>
      </c>
      <c r="BE195" s="138">
        <f t="shared" si="14"/>
        <v>0</v>
      </c>
      <c r="BF195" s="138">
        <f t="shared" si="15"/>
        <v>10956</v>
      </c>
      <c r="BG195" s="138">
        <f t="shared" si="16"/>
        <v>0</v>
      </c>
      <c r="BH195" s="138">
        <f t="shared" si="17"/>
        <v>0</v>
      </c>
      <c r="BI195" s="138">
        <f t="shared" si="18"/>
        <v>0</v>
      </c>
      <c r="BJ195" s="15" t="s">
        <v>143</v>
      </c>
      <c r="BK195" s="138">
        <f t="shared" si="19"/>
        <v>10956</v>
      </c>
      <c r="BL195" s="15" t="s">
        <v>206</v>
      </c>
      <c r="BM195" s="137" t="s">
        <v>1942</v>
      </c>
    </row>
    <row r="196" spans="2:65" s="1" customFormat="1" ht="24.2" customHeight="1">
      <c r="B196" s="126"/>
      <c r="C196" s="127" t="s">
        <v>326</v>
      </c>
      <c r="D196" s="127" t="s">
        <v>144</v>
      </c>
      <c r="E196" s="128" t="s">
        <v>1941</v>
      </c>
      <c r="F196" s="129" t="s">
        <v>1940</v>
      </c>
      <c r="G196" s="130" t="s">
        <v>193</v>
      </c>
      <c r="H196" s="131">
        <v>70</v>
      </c>
      <c r="I196" s="132">
        <v>34.5</v>
      </c>
      <c r="J196" s="132">
        <f t="shared" si="10"/>
        <v>2415</v>
      </c>
      <c r="K196" s="129" t="s">
        <v>148</v>
      </c>
      <c r="L196" s="27"/>
      <c r="M196" s="133" t="s">
        <v>1</v>
      </c>
      <c r="N196" s="134" t="s">
        <v>39</v>
      </c>
      <c r="O196" s="135">
        <v>5.8999999999999997E-2</v>
      </c>
      <c r="P196" s="135">
        <f t="shared" si="11"/>
        <v>4.13</v>
      </c>
      <c r="Q196" s="135">
        <v>0</v>
      </c>
      <c r="R196" s="135">
        <f t="shared" si="12"/>
        <v>0</v>
      </c>
      <c r="S196" s="135">
        <v>0</v>
      </c>
      <c r="T196" s="136">
        <f t="shared" si="13"/>
        <v>0</v>
      </c>
      <c r="AR196" s="137" t="s">
        <v>206</v>
      </c>
      <c r="AT196" s="137" t="s">
        <v>144</v>
      </c>
      <c r="AU196" s="137" t="s">
        <v>143</v>
      </c>
      <c r="AY196" s="15" t="s">
        <v>141</v>
      </c>
      <c r="BE196" s="138">
        <f t="shared" si="14"/>
        <v>0</v>
      </c>
      <c r="BF196" s="138">
        <f t="shared" si="15"/>
        <v>2415</v>
      </c>
      <c r="BG196" s="138">
        <f t="shared" si="16"/>
        <v>0</v>
      </c>
      <c r="BH196" s="138">
        <f t="shared" si="17"/>
        <v>0</v>
      </c>
      <c r="BI196" s="138">
        <f t="shared" si="18"/>
        <v>0</v>
      </c>
      <c r="BJ196" s="15" t="s">
        <v>143</v>
      </c>
      <c r="BK196" s="138">
        <f t="shared" si="19"/>
        <v>2415</v>
      </c>
      <c r="BL196" s="15" t="s">
        <v>206</v>
      </c>
      <c r="BM196" s="137" t="s">
        <v>1939</v>
      </c>
    </row>
    <row r="197" spans="2:65" s="1" customFormat="1" ht="44.25" customHeight="1">
      <c r="B197" s="126"/>
      <c r="C197" s="127" t="s">
        <v>1364</v>
      </c>
      <c r="D197" s="127" t="s">
        <v>144</v>
      </c>
      <c r="E197" s="128" t="s">
        <v>1938</v>
      </c>
      <c r="F197" s="129" t="s">
        <v>1937</v>
      </c>
      <c r="G197" s="130" t="s">
        <v>179</v>
      </c>
      <c r="H197" s="131">
        <v>2.57</v>
      </c>
      <c r="I197" s="132">
        <v>732</v>
      </c>
      <c r="J197" s="132">
        <f t="shared" si="10"/>
        <v>1881.24</v>
      </c>
      <c r="K197" s="129" t="s">
        <v>148</v>
      </c>
      <c r="L197" s="27"/>
      <c r="M197" s="133" t="s">
        <v>1</v>
      </c>
      <c r="N197" s="134" t="s">
        <v>39</v>
      </c>
      <c r="O197" s="135">
        <v>1.47</v>
      </c>
      <c r="P197" s="135">
        <f t="shared" si="11"/>
        <v>3.7778999999999998</v>
      </c>
      <c r="Q197" s="135">
        <v>0</v>
      </c>
      <c r="R197" s="135">
        <f t="shared" si="12"/>
        <v>0</v>
      </c>
      <c r="S197" s="135">
        <v>0</v>
      </c>
      <c r="T197" s="136">
        <f t="shared" si="13"/>
        <v>0</v>
      </c>
      <c r="AR197" s="137" t="s">
        <v>206</v>
      </c>
      <c r="AT197" s="137" t="s">
        <v>144</v>
      </c>
      <c r="AU197" s="137" t="s">
        <v>143</v>
      </c>
      <c r="AY197" s="15" t="s">
        <v>141</v>
      </c>
      <c r="BE197" s="138">
        <f t="shared" si="14"/>
        <v>0</v>
      </c>
      <c r="BF197" s="138">
        <f t="shared" si="15"/>
        <v>1881.24</v>
      </c>
      <c r="BG197" s="138">
        <f t="shared" si="16"/>
        <v>0</v>
      </c>
      <c r="BH197" s="138">
        <f t="shared" si="17"/>
        <v>0</v>
      </c>
      <c r="BI197" s="138">
        <f t="shared" si="18"/>
        <v>0</v>
      </c>
      <c r="BJ197" s="15" t="s">
        <v>143</v>
      </c>
      <c r="BK197" s="138">
        <f t="shared" si="19"/>
        <v>1881.24</v>
      </c>
      <c r="BL197" s="15" t="s">
        <v>206</v>
      </c>
      <c r="BM197" s="137" t="s">
        <v>1936</v>
      </c>
    </row>
    <row r="198" spans="2:65" s="11" customFormat="1" ht="22.9" customHeight="1">
      <c r="B198" s="115"/>
      <c r="D198" s="116" t="s">
        <v>72</v>
      </c>
      <c r="E198" s="124" t="s">
        <v>1935</v>
      </c>
      <c r="F198" s="124" t="s">
        <v>1934</v>
      </c>
      <c r="J198" s="125">
        <f>BK198</f>
        <v>366039.09</v>
      </c>
      <c r="L198" s="115"/>
      <c r="M198" s="119"/>
      <c r="P198" s="120">
        <f>SUM(P199:P224)</f>
        <v>455.83964599999985</v>
      </c>
      <c r="R198" s="120">
        <f>SUM(R199:R224)</f>
        <v>0.89766000000000001</v>
      </c>
      <c r="T198" s="121">
        <f>SUM(T199:T224)</f>
        <v>0</v>
      </c>
      <c r="AR198" s="116" t="s">
        <v>143</v>
      </c>
      <c r="AT198" s="122" t="s">
        <v>72</v>
      </c>
      <c r="AU198" s="122" t="s">
        <v>81</v>
      </c>
      <c r="AY198" s="116" t="s">
        <v>141</v>
      </c>
      <c r="BK198" s="123">
        <f>SUM(BK199:BK224)</f>
        <v>366039.09</v>
      </c>
    </row>
    <row r="199" spans="2:65" s="1" customFormat="1" ht="33" customHeight="1">
      <c r="B199" s="126"/>
      <c r="C199" s="127" t="s">
        <v>1360</v>
      </c>
      <c r="D199" s="127" t="s">
        <v>144</v>
      </c>
      <c r="E199" s="128" t="s">
        <v>1933</v>
      </c>
      <c r="F199" s="129" t="s">
        <v>1932</v>
      </c>
      <c r="G199" s="130" t="s">
        <v>193</v>
      </c>
      <c r="H199" s="131">
        <v>150</v>
      </c>
      <c r="I199" s="132">
        <v>359</v>
      </c>
      <c r="J199" s="132">
        <f t="shared" ref="J199:J224" si="20">ROUND(I199*H199,2)</f>
        <v>53850</v>
      </c>
      <c r="K199" s="129" t="s">
        <v>148</v>
      </c>
      <c r="L199" s="27"/>
      <c r="M199" s="133" t="s">
        <v>1</v>
      </c>
      <c r="N199" s="134" t="s">
        <v>39</v>
      </c>
      <c r="O199" s="135">
        <v>0.52900000000000003</v>
      </c>
      <c r="P199" s="135">
        <f t="shared" ref="P199:P224" si="21">O199*H199</f>
        <v>79.350000000000009</v>
      </c>
      <c r="Q199" s="135">
        <v>9.7999999999999997E-4</v>
      </c>
      <c r="R199" s="135">
        <f t="shared" ref="R199:R224" si="22">Q199*H199</f>
        <v>0.14699999999999999</v>
      </c>
      <c r="S199" s="135">
        <v>0</v>
      </c>
      <c r="T199" s="136">
        <f t="shared" ref="T199:T224" si="23">S199*H199</f>
        <v>0</v>
      </c>
      <c r="AR199" s="137" t="s">
        <v>206</v>
      </c>
      <c r="AT199" s="137" t="s">
        <v>144</v>
      </c>
      <c r="AU199" s="137" t="s">
        <v>143</v>
      </c>
      <c r="AY199" s="15" t="s">
        <v>141</v>
      </c>
      <c r="BE199" s="138">
        <f t="shared" ref="BE199:BE224" si="24">IF(N199="základní",J199,0)</f>
        <v>0</v>
      </c>
      <c r="BF199" s="138">
        <f t="shared" ref="BF199:BF224" si="25">IF(N199="snížená",J199,0)</f>
        <v>53850</v>
      </c>
      <c r="BG199" s="138">
        <f t="shared" ref="BG199:BG224" si="26">IF(N199="zákl. přenesená",J199,0)</f>
        <v>0</v>
      </c>
      <c r="BH199" s="138">
        <f t="shared" ref="BH199:BH224" si="27">IF(N199="sníž. přenesená",J199,0)</f>
        <v>0</v>
      </c>
      <c r="BI199" s="138">
        <f t="shared" ref="BI199:BI224" si="28">IF(N199="nulová",J199,0)</f>
        <v>0</v>
      </c>
      <c r="BJ199" s="15" t="s">
        <v>143</v>
      </c>
      <c r="BK199" s="138">
        <f t="shared" ref="BK199:BK224" si="29">ROUND(I199*H199,2)</f>
        <v>53850</v>
      </c>
      <c r="BL199" s="15" t="s">
        <v>206</v>
      </c>
      <c r="BM199" s="137" t="s">
        <v>1931</v>
      </c>
    </row>
    <row r="200" spans="2:65" s="1" customFormat="1" ht="33" customHeight="1">
      <c r="B200" s="126"/>
      <c r="C200" s="127" t="s">
        <v>1356</v>
      </c>
      <c r="D200" s="127" t="s">
        <v>144</v>
      </c>
      <c r="E200" s="128" t="s">
        <v>1930</v>
      </c>
      <c r="F200" s="129" t="s">
        <v>1929</v>
      </c>
      <c r="G200" s="130" t="s">
        <v>193</v>
      </c>
      <c r="H200" s="131">
        <v>200</v>
      </c>
      <c r="I200" s="132">
        <v>437</v>
      </c>
      <c r="J200" s="132">
        <f t="shared" si="20"/>
        <v>87400</v>
      </c>
      <c r="K200" s="129" t="s">
        <v>148</v>
      </c>
      <c r="L200" s="27"/>
      <c r="M200" s="133" t="s">
        <v>1</v>
      </c>
      <c r="N200" s="134" t="s">
        <v>39</v>
      </c>
      <c r="O200" s="135">
        <v>0.61599999999999999</v>
      </c>
      <c r="P200" s="135">
        <f t="shared" si="21"/>
        <v>123.2</v>
      </c>
      <c r="Q200" s="135">
        <v>1.2600000000000001E-3</v>
      </c>
      <c r="R200" s="135">
        <f t="shared" si="22"/>
        <v>0.252</v>
      </c>
      <c r="S200" s="135">
        <v>0</v>
      </c>
      <c r="T200" s="136">
        <f t="shared" si="23"/>
        <v>0</v>
      </c>
      <c r="AR200" s="137" t="s">
        <v>206</v>
      </c>
      <c r="AT200" s="137" t="s">
        <v>144</v>
      </c>
      <c r="AU200" s="137" t="s">
        <v>143</v>
      </c>
      <c r="AY200" s="15" t="s">
        <v>141</v>
      </c>
      <c r="BE200" s="138">
        <f t="shared" si="24"/>
        <v>0</v>
      </c>
      <c r="BF200" s="138">
        <f t="shared" si="25"/>
        <v>87400</v>
      </c>
      <c r="BG200" s="138">
        <f t="shared" si="26"/>
        <v>0</v>
      </c>
      <c r="BH200" s="138">
        <f t="shared" si="27"/>
        <v>0</v>
      </c>
      <c r="BI200" s="138">
        <f t="shared" si="28"/>
        <v>0</v>
      </c>
      <c r="BJ200" s="15" t="s">
        <v>143</v>
      </c>
      <c r="BK200" s="138">
        <f t="shared" si="29"/>
        <v>87400</v>
      </c>
      <c r="BL200" s="15" t="s">
        <v>206</v>
      </c>
      <c r="BM200" s="137" t="s">
        <v>1928</v>
      </c>
    </row>
    <row r="201" spans="2:65" s="1" customFormat="1" ht="33" customHeight="1">
      <c r="B201" s="126"/>
      <c r="C201" s="127" t="s">
        <v>331</v>
      </c>
      <c r="D201" s="127" t="s">
        <v>144</v>
      </c>
      <c r="E201" s="128" t="s">
        <v>1927</v>
      </c>
      <c r="F201" s="129" t="s">
        <v>1926</v>
      </c>
      <c r="G201" s="130" t="s">
        <v>193</v>
      </c>
      <c r="H201" s="131">
        <v>60</v>
      </c>
      <c r="I201" s="132">
        <v>518</v>
      </c>
      <c r="J201" s="132">
        <f t="shared" si="20"/>
        <v>31080</v>
      </c>
      <c r="K201" s="129" t="s">
        <v>148</v>
      </c>
      <c r="L201" s="27"/>
      <c r="M201" s="133" t="s">
        <v>1</v>
      </c>
      <c r="N201" s="134" t="s">
        <v>39</v>
      </c>
      <c r="O201" s="135">
        <v>0.69599999999999995</v>
      </c>
      <c r="P201" s="135">
        <f t="shared" si="21"/>
        <v>41.76</v>
      </c>
      <c r="Q201" s="135">
        <v>1.5299999999999999E-3</v>
      </c>
      <c r="R201" s="135">
        <f t="shared" si="22"/>
        <v>9.1799999999999993E-2</v>
      </c>
      <c r="S201" s="135">
        <v>0</v>
      </c>
      <c r="T201" s="136">
        <f t="shared" si="23"/>
        <v>0</v>
      </c>
      <c r="AR201" s="137" t="s">
        <v>206</v>
      </c>
      <c r="AT201" s="137" t="s">
        <v>144</v>
      </c>
      <c r="AU201" s="137" t="s">
        <v>143</v>
      </c>
      <c r="AY201" s="15" t="s">
        <v>141</v>
      </c>
      <c r="BE201" s="138">
        <f t="shared" si="24"/>
        <v>0</v>
      </c>
      <c r="BF201" s="138">
        <f t="shared" si="25"/>
        <v>31080</v>
      </c>
      <c r="BG201" s="138">
        <f t="shared" si="26"/>
        <v>0</v>
      </c>
      <c r="BH201" s="138">
        <f t="shared" si="27"/>
        <v>0</v>
      </c>
      <c r="BI201" s="138">
        <f t="shared" si="28"/>
        <v>0</v>
      </c>
      <c r="BJ201" s="15" t="s">
        <v>143</v>
      </c>
      <c r="BK201" s="138">
        <f t="shared" si="29"/>
        <v>31080</v>
      </c>
      <c r="BL201" s="15" t="s">
        <v>206</v>
      </c>
      <c r="BM201" s="137" t="s">
        <v>1925</v>
      </c>
    </row>
    <row r="202" spans="2:65" s="1" customFormat="1" ht="33" customHeight="1">
      <c r="B202" s="126"/>
      <c r="C202" s="127" t="s">
        <v>335</v>
      </c>
      <c r="D202" s="127" t="s">
        <v>144</v>
      </c>
      <c r="E202" s="128" t="s">
        <v>1924</v>
      </c>
      <c r="F202" s="129" t="s">
        <v>1923</v>
      </c>
      <c r="G202" s="130" t="s">
        <v>193</v>
      </c>
      <c r="H202" s="131">
        <v>60</v>
      </c>
      <c r="I202" s="132">
        <v>613</v>
      </c>
      <c r="J202" s="132">
        <f t="shared" si="20"/>
        <v>36780</v>
      </c>
      <c r="K202" s="129" t="s">
        <v>148</v>
      </c>
      <c r="L202" s="27"/>
      <c r="M202" s="133" t="s">
        <v>1</v>
      </c>
      <c r="N202" s="134" t="s">
        <v>39</v>
      </c>
      <c r="O202" s="135">
        <v>0.74299999999999999</v>
      </c>
      <c r="P202" s="135">
        <f t="shared" si="21"/>
        <v>44.58</v>
      </c>
      <c r="Q202" s="135">
        <v>2.8400000000000001E-3</v>
      </c>
      <c r="R202" s="135">
        <f t="shared" si="22"/>
        <v>0.1704</v>
      </c>
      <c r="S202" s="135">
        <v>0</v>
      </c>
      <c r="T202" s="136">
        <f t="shared" si="23"/>
        <v>0</v>
      </c>
      <c r="AR202" s="137" t="s">
        <v>206</v>
      </c>
      <c r="AT202" s="137" t="s">
        <v>144</v>
      </c>
      <c r="AU202" s="137" t="s">
        <v>143</v>
      </c>
      <c r="AY202" s="15" t="s">
        <v>141</v>
      </c>
      <c r="BE202" s="138">
        <f t="shared" si="24"/>
        <v>0</v>
      </c>
      <c r="BF202" s="138">
        <f t="shared" si="25"/>
        <v>36780</v>
      </c>
      <c r="BG202" s="138">
        <f t="shared" si="26"/>
        <v>0</v>
      </c>
      <c r="BH202" s="138">
        <f t="shared" si="27"/>
        <v>0</v>
      </c>
      <c r="BI202" s="138">
        <f t="shared" si="28"/>
        <v>0</v>
      </c>
      <c r="BJ202" s="15" t="s">
        <v>143</v>
      </c>
      <c r="BK202" s="138">
        <f t="shared" si="29"/>
        <v>36780</v>
      </c>
      <c r="BL202" s="15" t="s">
        <v>206</v>
      </c>
      <c r="BM202" s="137" t="s">
        <v>1922</v>
      </c>
    </row>
    <row r="203" spans="2:65" s="1" customFormat="1" ht="55.5" customHeight="1">
      <c r="B203" s="126"/>
      <c r="C203" s="127" t="s">
        <v>339</v>
      </c>
      <c r="D203" s="127" t="s">
        <v>144</v>
      </c>
      <c r="E203" s="128" t="s">
        <v>1921</v>
      </c>
      <c r="F203" s="129" t="s">
        <v>1920</v>
      </c>
      <c r="G203" s="130" t="s">
        <v>193</v>
      </c>
      <c r="H203" s="131">
        <v>50</v>
      </c>
      <c r="I203" s="132">
        <v>66.099999999999994</v>
      </c>
      <c r="J203" s="132">
        <f t="shared" si="20"/>
        <v>3305</v>
      </c>
      <c r="K203" s="129" t="s">
        <v>148</v>
      </c>
      <c r="L203" s="27"/>
      <c r="M203" s="133" t="s">
        <v>1</v>
      </c>
      <c r="N203" s="134" t="s">
        <v>39</v>
      </c>
      <c r="O203" s="135">
        <v>0.10299999999999999</v>
      </c>
      <c r="P203" s="135">
        <f t="shared" si="21"/>
        <v>5.1499999999999995</v>
      </c>
      <c r="Q203" s="135">
        <v>5.0000000000000002E-5</v>
      </c>
      <c r="R203" s="135">
        <f t="shared" si="22"/>
        <v>2.5000000000000001E-3</v>
      </c>
      <c r="S203" s="135">
        <v>0</v>
      </c>
      <c r="T203" s="136">
        <f t="shared" si="23"/>
        <v>0</v>
      </c>
      <c r="AR203" s="137" t="s">
        <v>206</v>
      </c>
      <c r="AT203" s="137" t="s">
        <v>144</v>
      </c>
      <c r="AU203" s="137" t="s">
        <v>143</v>
      </c>
      <c r="AY203" s="15" t="s">
        <v>141</v>
      </c>
      <c r="BE203" s="138">
        <f t="shared" si="24"/>
        <v>0</v>
      </c>
      <c r="BF203" s="138">
        <f t="shared" si="25"/>
        <v>3305</v>
      </c>
      <c r="BG203" s="138">
        <f t="shared" si="26"/>
        <v>0</v>
      </c>
      <c r="BH203" s="138">
        <f t="shared" si="27"/>
        <v>0</v>
      </c>
      <c r="BI203" s="138">
        <f t="shared" si="28"/>
        <v>0</v>
      </c>
      <c r="BJ203" s="15" t="s">
        <v>143</v>
      </c>
      <c r="BK203" s="138">
        <f t="shared" si="29"/>
        <v>3305</v>
      </c>
      <c r="BL203" s="15" t="s">
        <v>206</v>
      </c>
      <c r="BM203" s="137" t="s">
        <v>1919</v>
      </c>
    </row>
    <row r="204" spans="2:65" s="1" customFormat="1" ht="55.5" customHeight="1">
      <c r="B204" s="126"/>
      <c r="C204" s="127" t="s">
        <v>347</v>
      </c>
      <c r="D204" s="127" t="s">
        <v>144</v>
      </c>
      <c r="E204" s="128" t="s">
        <v>1918</v>
      </c>
      <c r="F204" s="129" t="s">
        <v>1917</v>
      </c>
      <c r="G204" s="130" t="s">
        <v>193</v>
      </c>
      <c r="H204" s="131">
        <v>130</v>
      </c>
      <c r="I204" s="132">
        <v>75.3</v>
      </c>
      <c r="J204" s="132">
        <f t="shared" si="20"/>
        <v>9789</v>
      </c>
      <c r="K204" s="129" t="s">
        <v>148</v>
      </c>
      <c r="L204" s="27"/>
      <c r="M204" s="133" t="s">
        <v>1</v>
      </c>
      <c r="N204" s="134" t="s">
        <v>39</v>
      </c>
      <c r="O204" s="135">
        <v>0.10299999999999999</v>
      </c>
      <c r="P204" s="135">
        <f t="shared" si="21"/>
        <v>13.389999999999999</v>
      </c>
      <c r="Q204" s="135">
        <v>6.9999999999999994E-5</v>
      </c>
      <c r="R204" s="135">
        <f t="shared" si="22"/>
        <v>9.0999999999999987E-3</v>
      </c>
      <c r="S204" s="135">
        <v>0</v>
      </c>
      <c r="T204" s="136">
        <f t="shared" si="23"/>
        <v>0</v>
      </c>
      <c r="AR204" s="137" t="s">
        <v>206</v>
      </c>
      <c r="AT204" s="137" t="s">
        <v>144</v>
      </c>
      <c r="AU204" s="137" t="s">
        <v>143</v>
      </c>
      <c r="AY204" s="15" t="s">
        <v>141</v>
      </c>
      <c r="BE204" s="138">
        <f t="shared" si="24"/>
        <v>0</v>
      </c>
      <c r="BF204" s="138">
        <f t="shared" si="25"/>
        <v>9789</v>
      </c>
      <c r="BG204" s="138">
        <f t="shared" si="26"/>
        <v>0</v>
      </c>
      <c r="BH204" s="138">
        <f t="shared" si="27"/>
        <v>0</v>
      </c>
      <c r="BI204" s="138">
        <f t="shared" si="28"/>
        <v>0</v>
      </c>
      <c r="BJ204" s="15" t="s">
        <v>143</v>
      </c>
      <c r="BK204" s="138">
        <f t="shared" si="29"/>
        <v>9789</v>
      </c>
      <c r="BL204" s="15" t="s">
        <v>206</v>
      </c>
      <c r="BM204" s="137" t="s">
        <v>1916</v>
      </c>
    </row>
    <row r="205" spans="2:65" s="1" customFormat="1" ht="55.5" customHeight="1">
      <c r="B205" s="126"/>
      <c r="C205" s="127" t="s">
        <v>343</v>
      </c>
      <c r="D205" s="127" t="s">
        <v>144</v>
      </c>
      <c r="E205" s="128" t="s">
        <v>1915</v>
      </c>
      <c r="F205" s="129" t="s">
        <v>1914</v>
      </c>
      <c r="G205" s="130" t="s">
        <v>193</v>
      </c>
      <c r="H205" s="131">
        <v>100</v>
      </c>
      <c r="I205" s="132">
        <v>141</v>
      </c>
      <c r="J205" s="132">
        <f t="shared" si="20"/>
        <v>14100</v>
      </c>
      <c r="K205" s="129" t="s">
        <v>148</v>
      </c>
      <c r="L205" s="27"/>
      <c r="M205" s="133" t="s">
        <v>1</v>
      </c>
      <c r="N205" s="134" t="s">
        <v>39</v>
      </c>
      <c r="O205" s="135">
        <v>0.11799999999999999</v>
      </c>
      <c r="P205" s="135">
        <f t="shared" si="21"/>
        <v>11.799999999999999</v>
      </c>
      <c r="Q205" s="135">
        <v>2.0000000000000001E-4</v>
      </c>
      <c r="R205" s="135">
        <f t="shared" si="22"/>
        <v>0.02</v>
      </c>
      <c r="S205" s="135">
        <v>0</v>
      </c>
      <c r="T205" s="136">
        <f t="shared" si="23"/>
        <v>0</v>
      </c>
      <c r="AR205" s="137" t="s">
        <v>206</v>
      </c>
      <c r="AT205" s="137" t="s">
        <v>144</v>
      </c>
      <c r="AU205" s="137" t="s">
        <v>143</v>
      </c>
      <c r="AY205" s="15" t="s">
        <v>141</v>
      </c>
      <c r="BE205" s="138">
        <f t="shared" si="24"/>
        <v>0</v>
      </c>
      <c r="BF205" s="138">
        <f t="shared" si="25"/>
        <v>14100</v>
      </c>
      <c r="BG205" s="138">
        <f t="shared" si="26"/>
        <v>0</v>
      </c>
      <c r="BH205" s="138">
        <f t="shared" si="27"/>
        <v>0</v>
      </c>
      <c r="BI205" s="138">
        <f t="shared" si="28"/>
        <v>0</v>
      </c>
      <c r="BJ205" s="15" t="s">
        <v>143</v>
      </c>
      <c r="BK205" s="138">
        <f t="shared" si="29"/>
        <v>14100</v>
      </c>
      <c r="BL205" s="15" t="s">
        <v>206</v>
      </c>
      <c r="BM205" s="137" t="s">
        <v>1913</v>
      </c>
    </row>
    <row r="206" spans="2:65" s="1" customFormat="1" ht="55.5" customHeight="1">
      <c r="B206" s="126"/>
      <c r="C206" s="127" t="s">
        <v>351</v>
      </c>
      <c r="D206" s="127" t="s">
        <v>144</v>
      </c>
      <c r="E206" s="128" t="s">
        <v>1912</v>
      </c>
      <c r="F206" s="129" t="s">
        <v>1911</v>
      </c>
      <c r="G206" s="130" t="s">
        <v>193</v>
      </c>
      <c r="H206" s="131">
        <v>190</v>
      </c>
      <c r="I206" s="132">
        <v>169</v>
      </c>
      <c r="J206" s="132">
        <f t="shared" si="20"/>
        <v>32110</v>
      </c>
      <c r="K206" s="129" t="s">
        <v>148</v>
      </c>
      <c r="L206" s="27"/>
      <c r="M206" s="133" t="s">
        <v>1</v>
      </c>
      <c r="N206" s="134" t="s">
        <v>39</v>
      </c>
      <c r="O206" s="135">
        <v>0.11799999999999999</v>
      </c>
      <c r="P206" s="135">
        <f t="shared" si="21"/>
        <v>22.419999999999998</v>
      </c>
      <c r="Q206" s="135">
        <v>2.4000000000000001E-4</v>
      </c>
      <c r="R206" s="135">
        <f t="shared" si="22"/>
        <v>4.5600000000000002E-2</v>
      </c>
      <c r="S206" s="135">
        <v>0</v>
      </c>
      <c r="T206" s="136">
        <f t="shared" si="23"/>
        <v>0</v>
      </c>
      <c r="AR206" s="137" t="s">
        <v>206</v>
      </c>
      <c r="AT206" s="137" t="s">
        <v>144</v>
      </c>
      <c r="AU206" s="137" t="s">
        <v>143</v>
      </c>
      <c r="AY206" s="15" t="s">
        <v>141</v>
      </c>
      <c r="BE206" s="138">
        <f t="shared" si="24"/>
        <v>0</v>
      </c>
      <c r="BF206" s="138">
        <f t="shared" si="25"/>
        <v>32110</v>
      </c>
      <c r="BG206" s="138">
        <f t="shared" si="26"/>
        <v>0</v>
      </c>
      <c r="BH206" s="138">
        <f t="shared" si="27"/>
        <v>0</v>
      </c>
      <c r="BI206" s="138">
        <f t="shared" si="28"/>
        <v>0</v>
      </c>
      <c r="BJ206" s="15" t="s">
        <v>143</v>
      </c>
      <c r="BK206" s="138">
        <f t="shared" si="29"/>
        <v>32110</v>
      </c>
      <c r="BL206" s="15" t="s">
        <v>206</v>
      </c>
      <c r="BM206" s="137" t="s">
        <v>1910</v>
      </c>
    </row>
    <row r="207" spans="2:65" s="1" customFormat="1" ht="16.5" customHeight="1">
      <c r="B207" s="126"/>
      <c r="C207" s="127" t="s">
        <v>355</v>
      </c>
      <c r="D207" s="127" t="s">
        <v>144</v>
      </c>
      <c r="E207" s="128" t="s">
        <v>1909</v>
      </c>
      <c r="F207" s="129" t="s">
        <v>1908</v>
      </c>
      <c r="G207" s="130" t="s">
        <v>193</v>
      </c>
      <c r="H207" s="131">
        <v>20</v>
      </c>
      <c r="I207" s="132">
        <v>67.3</v>
      </c>
      <c r="J207" s="132">
        <f t="shared" si="20"/>
        <v>1346</v>
      </c>
      <c r="K207" s="129" t="s">
        <v>148</v>
      </c>
      <c r="L207" s="27"/>
      <c r="M207" s="133" t="s">
        <v>1</v>
      </c>
      <c r="N207" s="134" t="s">
        <v>39</v>
      </c>
      <c r="O207" s="135">
        <v>1.7000000000000001E-2</v>
      </c>
      <c r="P207" s="135">
        <f t="shared" si="21"/>
        <v>0.34</v>
      </c>
      <c r="Q207" s="135">
        <v>1.92E-3</v>
      </c>
      <c r="R207" s="135">
        <f t="shared" si="22"/>
        <v>3.8400000000000004E-2</v>
      </c>
      <c r="S207" s="135">
        <v>0</v>
      </c>
      <c r="T207" s="136">
        <f t="shared" si="23"/>
        <v>0</v>
      </c>
      <c r="AR207" s="137" t="s">
        <v>206</v>
      </c>
      <c r="AT207" s="137" t="s">
        <v>144</v>
      </c>
      <c r="AU207" s="137" t="s">
        <v>143</v>
      </c>
      <c r="AY207" s="15" t="s">
        <v>141</v>
      </c>
      <c r="BE207" s="138">
        <f t="shared" si="24"/>
        <v>0</v>
      </c>
      <c r="BF207" s="138">
        <f t="shared" si="25"/>
        <v>1346</v>
      </c>
      <c r="BG207" s="138">
        <f t="shared" si="26"/>
        <v>0</v>
      </c>
      <c r="BH207" s="138">
        <f t="shared" si="27"/>
        <v>0</v>
      </c>
      <c r="BI207" s="138">
        <f t="shared" si="28"/>
        <v>0</v>
      </c>
      <c r="BJ207" s="15" t="s">
        <v>143</v>
      </c>
      <c r="BK207" s="138">
        <f t="shared" si="29"/>
        <v>1346</v>
      </c>
      <c r="BL207" s="15" t="s">
        <v>206</v>
      </c>
      <c r="BM207" s="137" t="s">
        <v>1907</v>
      </c>
    </row>
    <row r="208" spans="2:65" s="1" customFormat="1" ht="24.2" customHeight="1">
      <c r="B208" s="126"/>
      <c r="C208" s="127" t="s">
        <v>359</v>
      </c>
      <c r="D208" s="127" t="s">
        <v>144</v>
      </c>
      <c r="E208" s="128" t="s">
        <v>1906</v>
      </c>
      <c r="F208" s="129" t="s">
        <v>1905</v>
      </c>
      <c r="G208" s="130" t="s">
        <v>147</v>
      </c>
      <c r="H208" s="131">
        <v>46</v>
      </c>
      <c r="I208" s="132">
        <v>227</v>
      </c>
      <c r="J208" s="132">
        <f t="shared" si="20"/>
        <v>10442</v>
      </c>
      <c r="K208" s="129" t="s">
        <v>148</v>
      </c>
      <c r="L208" s="27"/>
      <c r="M208" s="133" t="s">
        <v>1</v>
      </c>
      <c r="N208" s="134" t="s">
        <v>39</v>
      </c>
      <c r="O208" s="135">
        <v>0.42499999999999999</v>
      </c>
      <c r="P208" s="135">
        <f t="shared" si="21"/>
        <v>19.55</v>
      </c>
      <c r="Q208" s="135">
        <v>0</v>
      </c>
      <c r="R208" s="135">
        <f t="shared" si="22"/>
        <v>0</v>
      </c>
      <c r="S208" s="135">
        <v>0</v>
      </c>
      <c r="T208" s="136">
        <f t="shared" si="23"/>
        <v>0</v>
      </c>
      <c r="AR208" s="137" t="s">
        <v>206</v>
      </c>
      <c r="AT208" s="137" t="s">
        <v>144</v>
      </c>
      <c r="AU208" s="137" t="s">
        <v>143</v>
      </c>
      <c r="AY208" s="15" t="s">
        <v>141</v>
      </c>
      <c r="BE208" s="138">
        <f t="shared" si="24"/>
        <v>0</v>
      </c>
      <c r="BF208" s="138">
        <f t="shared" si="25"/>
        <v>10442</v>
      </c>
      <c r="BG208" s="138">
        <f t="shared" si="26"/>
        <v>0</v>
      </c>
      <c r="BH208" s="138">
        <f t="shared" si="27"/>
        <v>0</v>
      </c>
      <c r="BI208" s="138">
        <f t="shared" si="28"/>
        <v>0</v>
      </c>
      <c r="BJ208" s="15" t="s">
        <v>143</v>
      </c>
      <c r="BK208" s="138">
        <f t="shared" si="29"/>
        <v>10442</v>
      </c>
      <c r="BL208" s="15" t="s">
        <v>206</v>
      </c>
      <c r="BM208" s="137" t="s">
        <v>1904</v>
      </c>
    </row>
    <row r="209" spans="2:65" s="1" customFormat="1" ht="24.2" customHeight="1">
      <c r="B209" s="126"/>
      <c r="C209" s="127" t="s">
        <v>365</v>
      </c>
      <c r="D209" s="127" t="s">
        <v>144</v>
      </c>
      <c r="E209" s="128" t="s">
        <v>1903</v>
      </c>
      <c r="F209" s="129" t="s">
        <v>1902</v>
      </c>
      <c r="G209" s="130" t="s">
        <v>147</v>
      </c>
      <c r="H209" s="131">
        <v>18</v>
      </c>
      <c r="I209" s="132">
        <v>210</v>
      </c>
      <c r="J209" s="132">
        <f t="shared" si="20"/>
        <v>3780</v>
      </c>
      <c r="K209" s="129" t="s">
        <v>148</v>
      </c>
      <c r="L209" s="27"/>
      <c r="M209" s="133" t="s">
        <v>1</v>
      </c>
      <c r="N209" s="134" t="s">
        <v>39</v>
      </c>
      <c r="O209" s="135">
        <v>0.23</v>
      </c>
      <c r="P209" s="135">
        <f t="shared" si="21"/>
        <v>4.1400000000000006</v>
      </c>
      <c r="Q209" s="135">
        <v>1.2999999999999999E-4</v>
      </c>
      <c r="R209" s="135">
        <f t="shared" si="22"/>
        <v>2.3399999999999996E-3</v>
      </c>
      <c r="S209" s="135">
        <v>0</v>
      </c>
      <c r="T209" s="136">
        <f t="shared" si="23"/>
        <v>0</v>
      </c>
      <c r="AR209" s="137" t="s">
        <v>206</v>
      </c>
      <c r="AT209" s="137" t="s">
        <v>144</v>
      </c>
      <c r="AU209" s="137" t="s">
        <v>143</v>
      </c>
      <c r="AY209" s="15" t="s">
        <v>141</v>
      </c>
      <c r="BE209" s="138">
        <f t="shared" si="24"/>
        <v>0</v>
      </c>
      <c r="BF209" s="138">
        <f t="shared" si="25"/>
        <v>3780</v>
      </c>
      <c r="BG209" s="138">
        <f t="shared" si="26"/>
        <v>0</v>
      </c>
      <c r="BH209" s="138">
        <f t="shared" si="27"/>
        <v>0</v>
      </c>
      <c r="BI209" s="138">
        <f t="shared" si="28"/>
        <v>0</v>
      </c>
      <c r="BJ209" s="15" t="s">
        <v>143</v>
      </c>
      <c r="BK209" s="138">
        <f t="shared" si="29"/>
        <v>3780</v>
      </c>
      <c r="BL209" s="15" t="s">
        <v>206</v>
      </c>
      <c r="BM209" s="137" t="s">
        <v>1901</v>
      </c>
    </row>
    <row r="210" spans="2:65" s="1" customFormat="1" ht="21.75" customHeight="1">
      <c r="B210" s="126"/>
      <c r="C210" s="127" t="s">
        <v>370</v>
      </c>
      <c r="D210" s="127" t="s">
        <v>144</v>
      </c>
      <c r="E210" s="128" t="s">
        <v>1900</v>
      </c>
      <c r="F210" s="129" t="s">
        <v>1899</v>
      </c>
      <c r="G210" s="130" t="s">
        <v>1898</v>
      </c>
      <c r="H210" s="131">
        <v>28</v>
      </c>
      <c r="I210" s="132">
        <v>418</v>
      </c>
      <c r="J210" s="132">
        <f t="shared" si="20"/>
        <v>11704</v>
      </c>
      <c r="K210" s="129" t="s">
        <v>148</v>
      </c>
      <c r="L210" s="27"/>
      <c r="M210" s="133" t="s">
        <v>1</v>
      </c>
      <c r="N210" s="134" t="s">
        <v>39</v>
      </c>
      <c r="O210" s="135">
        <v>0.45700000000000002</v>
      </c>
      <c r="P210" s="135">
        <f t="shared" si="21"/>
        <v>12.796000000000001</v>
      </c>
      <c r="Q210" s="135">
        <v>2.5000000000000001E-4</v>
      </c>
      <c r="R210" s="135">
        <f t="shared" si="22"/>
        <v>7.0000000000000001E-3</v>
      </c>
      <c r="S210" s="135">
        <v>0</v>
      </c>
      <c r="T210" s="136">
        <f t="shared" si="23"/>
        <v>0</v>
      </c>
      <c r="AR210" s="137" t="s">
        <v>206</v>
      </c>
      <c r="AT210" s="137" t="s">
        <v>144</v>
      </c>
      <c r="AU210" s="137" t="s">
        <v>143</v>
      </c>
      <c r="AY210" s="15" t="s">
        <v>141</v>
      </c>
      <c r="BE210" s="138">
        <f t="shared" si="24"/>
        <v>0</v>
      </c>
      <c r="BF210" s="138">
        <f t="shared" si="25"/>
        <v>11704</v>
      </c>
      <c r="BG210" s="138">
        <f t="shared" si="26"/>
        <v>0</v>
      </c>
      <c r="BH210" s="138">
        <f t="shared" si="27"/>
        <v>0</v>
      </c>
      <c r="BI210" s="138">
        <f t="shared" si="28"/>
        <v>0</v>
      </c>
      <c r="BJ210" s="15" t="s">
        <v>143</v>
      </c>
      <c r="BK210" s="138">
        <f t="shared" si="29"/>
        <v>11704</v>
      </c>
      <c r="BL210" s="15" t="s">
        <v>206</v>
      </c>
      <c r="BM210" s="137" t="s">
        <v>1897</v>
      </c>
    </row>
    <row r="211" spans="2:65" s="1" customFormat="1" ht="21.75" customHeight="1">
      <c r="B211" s="126"/>
      <c r="C211" s="127" t="s">
        <v>374</v>
      </c>
      <c r="D211" s="127" t="s">
        <v>144</v>
      </c>
      <c r="E211" s="128" t="s">
        <v>1896</v>
      </c>
      <c r="F211" s="129" t="s">
        <v>1895</v>
      </c>
      <c r="G211" s="130" t="s">
        <v>1111</v>
      </c>
      <c r="H211" s="131">
        <v>10</v>
      </c>
      <c r="I211" s="132">
        <v>518</v>
      </c>
      <c r="J211" s="132">
        <f t="shared" si="20"/>
        <v>5180</v>
      </c>
      <c r="K211" s="129" t="s">
        <v>148</v>
      </c>
      <c r="L211" s="27"/>
      <c r="M211" s="133" t="s">
        <v>1</v>
      </c>
      <c r="N211" s="134" t="s">
        <v>39</v>
      </c>
      <c r="O211" s="135">
        <v>0.14499999999999999</v>
      </c>
      <c r="P211" s="135">
        <f t="shared" si="21"/>
        <v>1.45</v>
      </c>
      <c r="Q211" s="135">
        <v>5.6999999999999998E-4</v>
      </c>
      <c r="R211" s="135">
        <f t="shared" si="22"/>
        <v>5.7000000000000002E-3</v>
      </c>
      <c r="S211" s="135">
        <v>0</v>
      </c>
      <c r="T211" s="136">
        <f t="shared" si="23"/>
        <v>0</v>
      </c>
      <c r="AR211" s="137" t="s">
        <v>206</v>
      </c>
      <c r="AT211" s="137" t="s">
        <v>144</v>
      </c>
      <c r="AU211" s="137" t="s">
        <v>143</v>
      </c>
      <c r="AY211" s="15" t="s">
        <v>141</v>
      </c>
      <c r="BE211" s="138">
        <f t="shared" si="24"/>
        <v>0</v>
      </c>
      <c r="BF211" s="138">
        <f t="shared" si="25"/>
        <v>5180</v>
      </c>
      <c r="BG211" s="138">
        <f t="shared" si="26"/>
        <v>0</v>
      </c>
      <c r="BH211" s="138">
        <f t="shared" si="27"/>
        <v>0</v>
      </c>
      <c r="BI211" s="138">
        <f t="shared" si="28"/>
        <v>0</v>
      </c>
      <c r="BJ211" s="15" t="s">
        <v>143</v>
      </c>
      <c r="BK211" s="138">
        <f t="shared" si="29"/>
        <v>5180</v>
      </c>
      <c r="BL211" s="15" t="s">
        <v>206</v>
      </c>
      <c r="BM211" s="137" t="s">
        <v>1894</v>
      </c>
    </row>
    <row r="212" spans="2:65" s="1" customFormat="1" ht="24.2" customHeight="1">
      <c r="B212" s="126"/>
      <c r="C212" s="127" t="s">
        <v>379</v>
      </c>
      <c r="D212" s="127" t="s">
        <v>144</v>
      </c>
      <c r="E212" s="128" t="s">
        <v>1893</v>
      </c>
      <c r="F212" s="129" t="s">
        <v>1892</v>
      </c>
      <c r="G212" s="130" t="s">
        <v>147</v>
      </c>
      <c r="H212" s="131">
        <v>1</v>
      </c>
      <c r="I212" s="132">
        <v>260</v>
      </c>
      <c r="J212" s="132">
        <f t="shared" si="20"/>
        <v>260</v>
      </c>
      <c r="K212" s="129" t="s">
        <v>148</v>
      </c>
      <c r="L212" s="27"/>
      <c r="M212" s="133" t="s">
        <v>1</v>
      </c>
      <c r="N212" s="134" t="s">
        <v>39</v>
      </c>
      <c r="O212" s="135">
        <v>8.3000000000000004E-2</v>
      </c>
      <c r="P212" s="135">
        <f t="shared" si="21"/>
        <v>8.3000000000000004E-2</v>
      </c>
      <c r="Q212" s="135">
        <v>2.2000000000000001E-4</v>
      </c>
      <c r="R212" s="135">
        <f t="shared" si="22"/>
        <v>2.2000000000000001E-4</v>
      </c>
      <c r="S212" s="135">
        <v>0</v>
      </c>
      <c r="T212" s="136">
        <f t="shared" si="23"/>
        <v>0</v>
      </c>
      <c r="AR212" s="137" t="s">
        <v>206</v>
      </c>
      <c r="AT212" s="137" t="s">
        <v>144</v>
      </c>
      <c r="AU212" s="137" t="s">
        <v>143</v>
      </c>
      <c r="AY212" s="15" t="s">
        <v>141</v>
      </c>
      <c r="BE212" s="138">
        <f t="shared" si="24"/>
        <v>0</v>
      </c>
      <c r="BF212" s="138">
        <f t="shared" si="25"/>
        <v>260</v>
      </c>
      <c r="BG212" s="138">
        <f t="shared" si="26"/>
        <v>0</v>
      </c>
      <c r="BH212" s="138">
        <f t="shared" si="27"/>
        <v>0</v>
      </c>
      <c r="BI212" s="138">
        <f t="shared" si="28"/>
        <v>0</v>
      </c>
      <c r="BJ212" s="15" t="s">
        <v>143</v>
      </c>
      <c r="BK212" s="138">
        <f t="shared" si="29"/>
        <v>260</v>
      </c>
      <c r="BL212" s="15" t="s">
        <v>206</v>
      </c>
      <c r="BM212" s="137" t="s">
        <v>1891</v>
      </c>
    </row>
    <row r="213" spans="2:65" s="1" customFormat="1" ht="24.2" customHeight="1">
      <c r="B213" s="126"/>
      <c r="C213" s="127" t="s">
        <v>383</v>
      </c>
      <c r="D213" s="127" t="s">
        <v>144</v>
      </c>
      <c r="E213" s="128" t="s">
        <v>1890</v>
      </c>
      <c r="F213" s="129" t="s">
        <v>1889</v>
      </c>
      <c r="G213" s="130" t="s">
        <v>147</v>
      </c>
      <c r="H213" s="131">
        <v>1</v>
      </c>
      <c r="I213" s="132">
        <v>360</v>
      </c>
      <c r="J213" s="132">
        <f t="shared" si="20"/>
        <v>360</v>
      </c>
      <c r="K213" s="129" t="s">
        <v>148</v>
      </c>
      <c r="L213" s="27"/>
      <c r="M213" s="133" t="s">
        <v>1</v>
      </c>
      <c r="N213" s="134" t="s">
        <v>39</v>
      </c>
      <c r="O213" s="135">
        <v>0.20699999999999999</v>
      </c>
      <c r="P213" s="135">
        <f t="shared" si="21"/>
        <v>0.20699999999999999</v>
      </c>
      <c r="Q213" s="135">
        <v>1.7000000000000001E-4</v>
      </c>
      <c r="R213" s="135">
        <f t="shared" si="22"/>
        <v>1.7000000000000001E-4</v>
      </c>
      <c r="S213" s="135">
        <v>0</v>
      </c>
      <c r="T213" s="136">
        <f t="shared" si="23"/>
        <v>0</v>
      </c>
      <c r="AR213" s="137" t="s">
        <v>206</v>
      </c>
      <c r="AT213" s="137" t="s">
        <v>144</v>
      </c>
      <c r="AU213" s="137" t="s">
        <v>143</v>
      </c>
      <c r="AY213" s="15" t="s">
        <v>141</v>
      </c>
      <c r="BE213" s="138">
        <f t="shared" si="24"/>
        <v>0</v>
      </c>
      <c r="BF213" s="138">
        <f t="shared" si="25"/>
        <v>360</v>
      </c>
      <c r="BG213" s="138">
        <f t="shared" si="26"/>
        <v>0</v>
      </c>
      <c r="BH213" s="138">
        <f t="shared" si="27"/>
        <v>0</v>
      </c>
      <c r="BI213" s="138">
        <f t="shared" si="28"/>
        <v>0</v>
      </c>
      <c r="BJ213" s="15" t="s">
        <v>143</v>
      </c>
      <c r="BK213" s="138">
        <f t="shared" si="29"/>
        <v>360</v>
      </c>
      <c r="BL213" s="15" t="s">
        <v>206</v>
      </c>
      <c r="BM213" s="137" t="s">
        <v>1888</v>
      </c>
    </row>
    <row r="214" spans="2:65" s="1" customFormat="1" ht="24.2" customHeight="1">
      <c r="B214" s="126"/>
      <c r="C214" s="127" t="s">
        <v>388</v>
      </c>
      <c r="D214" s="127" t="s">
        <v>144</v>
      </c>
      <c r="E214" s="128" t="s">
        <v>1887</v>
      </c>
      <c r="F214" s="129" t="s">
        <v>1886</v>
      </c>
      <c r="G214" s="130" t="s">
        <v>147</v>
      </c>
      <c r="H214" s="131">
        <v>1</v>
      </c>
      <c r="I214" s="132">
        <v>636</v>
      </c>
      <c r="J214" s="132">
        <f t="shared" si="20"/>
        <v>636</v>
      </c>
      <c r="K214" s="129" t="s">
        <v>148</v>
      </c>
      <c r="L214" s="27"/>
      <c r="M214" s="133" t="s">
        <v>1</v>
      </c>
      <c r="N214" s="134" t="s">
        <v>39</v>
      </c>
      <c r="O214" s="135">
        <v>0.26900000000000002</v>
      </c>
      <c r="P214" s="135">
        <f t="shared" si="21"/>
        <v>0.26900000000000002</v>
      </c>
      <c r="Q214" s="135">
        <v>8.1999999999999998E-4</v>
      </c>
      <c r="R214" s="135">
        <f t="shared" si="22"/>
        <v>8.1999999999999998E-4</v>
      </c>
      <c r="S214" s="135">
        <v>0</v>
      </c>
      <c r="T214" s="136">
        <f t="shared" si="23"/>
        <v>0</v>
      </c>
      <c r="AR214" s="137" t="s">
        <v>206</v>
      </c>
      <c r="AT214" s="137" t="s">
        <v>144</v>
      </c>
      <c r="AU214" s="137" t="s">
        <v>143</v>
      </c>
      <c r="AY214" s="15" t="s">
        <v>141</v>
      </c>
      <c r="BE214" s="138">
        <f t="shared" si="24"/>
        <v>0</v>
      </c>
      <c r="BF214" s="138">
        <f t="shared" si="25"/>
        <v>636</v>
      </c>
      <c r="BG214" s="138">
        <f t="shared" si="26"/>
        <v>0</v>
      </c>
      <c r="BH214" s="138">
        <f t="shared" si="27"/>
        <v>0</v>
      </c>
      <c r="BI214" s="138">
        <f t="shared" si="28"/>
        <v>0</v>
      </c>
      <c r="BJ214" s="15" t="s">
        <v>143</v>
      </c>
      <c r="BK214" s="138">
        <f t="shared" si="29"/>
        <v>636</v>
      </c>
      <c r="BL214" s="15" t="s">
        <v>206</v>
      </c>
      <c r="BM214" s="137" t="s">
        <v>1885</v>
      </c>
    </row>
    <row r="215" spans="2:65" s="1" customFormat="1" ht="24.2" customHeight="1">
      <c r="B215" s="126"/>
      <c r="C215" s="127" t="s">
        <v>392</v>
      </c>
      <c r="D215" s="127" t="s">
        <v>144</v>
      </c>
      <c r="E215" s="128" t="s">
        <v>1884</v>
      </c>
      <c r="F215" s="129" t="s">
        <v>1883</v>
      </c>
      <c r="G215" s="130" t="s">
        <v>147</v>
      </c>
      <c r="H215" s="131">
        <v>1</v>
      </c>
      <c r="I215" s="132">
        <v>1250</v>
      </c>
      <c r="J215" s="132">
        <f t="shared" si="20"/>
        <v>1250</v>
      </c>
      <c r="K215" s="129" t="s">
        <v>148</v>
      </c>
      <c r="L215" s="27"/>
      <c r="M215" s="133" t="s">
        <v>1</v>
      </c>
      <c r="N215" s="134" t="s">
        <v>39</v>
      </c>
      <c r="O215" s="135">
        <v>0.2</v>
      </c>
      <c r="P215" s="135">
        <f t="shared" si="21"/>
        <v>0.2</v>
      </c>
      <c r="Q215" s="135">
        <v>1.2E-4</v>
      </c>
      <c r="R215" s="135">
        <f t="shared" si="22"/>
        <v>1.2E-4</v>
      </c>
      <c r="S215" s="135">
        <v>0</v>
      </c>
      <c r="T215" s="136">
        <f t="shared" si="23"/>
        <v>0</v>
      </c>
      <c r="AR215" s="137" t="s">
        <v>206</v>
      </c>
      <c r="AT215" s="137" t="s">
        <v>144</v>
      </c>
      <c r="AU215" s="137" t="s">
        <v>143</v>
      </c>
      <c r="AY215" s="15" t="s">
        <v>141</v>
      </c>
      <c r="BE215" s="138">
        <f t="shared" si="24"/>
        <v>0</v>
      </c>
      <c r="BF215" s="138">
        <f t="shared" si="25"/>
        <v>1250</v>
      </c>
      <c r="BG215" s="138">
        <f t="shared" si="26"/>
        <v>0</v>
      </c>
      <c r="BH215" s="138">
        <f t="shared" si="27"/>
        <v>0</v>
      </c>
      <c r="BI215" s="138">
        <f t="shared" si="28"/>
        <v>0</v>
      </c>
      <c r="BJ215" s="15" t="s">
        <v>143</v>
      </c>
      <c r="BK215" s="138">
        <f t="shared" si="29"/>
        <v>1250</v>
      </c>
      <c r="BL215" s="15" t="s">
        <v>206</v>
      </c>
      <c r="BM215" s="137" t="s">
        <v>1882</v>
      </c>
    </row>
    <row r="216" spans="2:65" s="1" customFormat="1" ht="33" customHeight="1">
      <c r="B216" s="126"/>
      <c r="C216" s="127" t="s">
        <v>397</v>
      </c>
      <c r="D216" s="127" t="s">
        <v>144</v>
      </c>
      <c r="E216" s="128" t="s">
        <v>1881</v>
      </c>
      <c r="F216" s="129" t="s">
        <v>1880</v>
      </c>
      <c r="G216" s="130" t="s">
        <v>147</v>
      </c>
      <c r="H216" s="131">
        <v>6</v>
      </c>
      <c r="I216" s="132">
        <v>385</v>
      </c>
      <c r="J216" s="132">
        <f t="shared" si="20"/>
        <v>2310</v>
      </c>
      <c r="K216" s="129" t="s">
        <v>148</v>
      </c>
      <c r="L216" s="27"/>
      <c r="M216" s="133" t="s">
        <v>1</v>
      </c>
      <c r="N216" s="134" t="s">
        <v>39</v>
      </c>
      <c r="O216" s="135">
        <v>0.16</v>
      </c>
      <c r="P216" s="135">
        <f t="shared" si="21"/>
        <v>0.96</v>
      </c>
      <c r="Q216" s="135">
        <v>2.7E-4</v>
      </c>
      <c r="R216" s="135">
        <f t="shared" si="22"/>
        <v>1.6199999999999999E-3</v>
      </c>
      <c r="S216" s="135">
        <v>0</v>
      </c>
      <c r="T216" s="136">
        <f t="shared" si="23"/>
        <v>0</v>
      </c>
      <c r="AR216" s="137" t="s">
        <v>206</v>
      </c>
      <c r="AT216" s="137" t="s">
        <v>144</v>
      </c>
      <c r="AU216" s="137" t="s">
        <v>143</v>
      </c>
      <c r="AY216" s="15" t="s">
        <v>141</v>
      </c>
      <c r="BE216" s="138">
        <f t="shared" si="24"/>
        <v>0</v>
      </c>
      <c r="BF216" s="138">
        <f t="shared" si="25"/>
        <v>2310</v>
      </c>
      <c r="BG216" s="138">
        <f t="shared" si="26"/>
        <v>0</v>
      </c>
      <c r="BH216" s="138">
        <f t="shared" si="27"/>
        <v>0</v>
      </c>
      <c r="BI216" s="138">
        <f t="shared" si="28"/>
        <v>0</v>
      </c>
      <c r="BJ216" s="15" t="s">
        <v>143</v>
      </c>
      <c r="BK216" s="138">
        <f t="shared" si="29"/>
        <v>2310</v>
      </c>
      <c r="BL216" s="15" t="s">
        <v>206</v>
      </c>
      <c r="BM216" s="137" t="s">
        <v>1879</v>
      </c>
    </row>
    <row r="217" spans="2:65" s="1" customFormat="1" ht="33" customHeight="1">
      <c r="B217" s="126"/>
      <c r="C217" s="127" t="s">
        <v>401</v>
      </c>
      <c r="D217" s="127" t="s">
        <v>144</v>
      </c>
      <c r="E217" s="128" t="s">
        <v>1878</v>
      </c>
      <c r="F217" s="129" t="s">
        <v>1877</v>
      </c>
      <c r="G217" s="130" t="s">
        <v>147</v>
      </c>
      <c r="H217" s="131">
        <v>6</v>
      </c>
      <c r="I217" s="132">
        <v>499</v>
      </c>
      <c r="J217" s="132">
        <f t="shared" si="20"/>
        <v>2994</v>
      </c>
      <c r="K217" s="129" t="s">
        <v>148</v>
      </c>
      <c r="L217" s="27"/>
      <c r="M217" s="133" t="s">
        <v>1</v>
      </c>
      <c r="N217" s="134" t="s">
        <v>39</v>
      </c>
      <c r="O217" s="135">
        <v>0.2</v>
      </c>
      <c r="P217" s="135">
        <f t="shared" si="21"/>
        <v>1.2000000000000002</v>
      </c>
      <c r="Q217" s="135">
        <v>4.0000000000000002E-4</v>
      </c>
      <c r="R217" s="135">
        <f t="shared" si="22"/>
        <v>2.4000000000000002E-3</v>
      </c>
      <c r="S217" s="135">
        <v>0</v>
      </c>
      <c r="T217" s="136">
        <f t="shared" si="23"/>
        <v>0</v>
      </c>
      <c r="AR217" s="137" t="s">
        <v>206</v>
      </c>
      <c r="AT217" s="137" t="s">
        <v>144</v>
      </c>
      <c r="AU217" s="137" t="s">
        <v>143</v>
      </c>
      <c r="AY217" s="15" t="s">
        <v>141</v>
      </c>
      <c r="BE217" s="138">
        <f t="shared" si="24"/>
        <v>0</v>
      </c>
      <c r="BF217" s="138">
        <f t="shared" si="25"/>
        <v>2994</v>
      </c>
      <c r="BG217" s="138">
        <f t="shared" si="26"/>
        <v>0</v>
      </c>
      <c r="BH217" s="138">
        <f t="shared" si="27"/>
        <v>0</v>
      </c>
      <c r="BI217" s="138">
        <f t="shared" si="28"/>
        <v>0</v>
      </c>
      <c r="BJ217" s="15" t="s">
        <v>143</v>
      </c>
      <c r="BK217" s="138">
        <f t="shared" si="29"/>
        <v>2994</v>
      </c>
      <c r="BL217" s="15" t="s">
        <v>206</v>
      </c>
      <c r="BM217" s="137" t="s">
        <v>1876</v>
      </c>
    </row>
    <row r="218" spans="2:65" s="1" customFormat="1" ht="24.2" customHeight="1">
      <c r="B218" s="126"/>
      <c r="C218" s="127" t="s">
        <v>405</v>
      </c>
      <c r="D218" s="127" t="s">
        <v>144</v>
      </c>
      <c r="E218" s="128" t="s">
        <v>1875</v>
      </c>
      <c r="F218" s="129" t="s">
        <v>1874</v>
      </c>
      <c r="G218" s="130" t="s">
        <v>147</v>
      </c>
      <c r="H218" s="131">
        <v>2</v>
      </c>
      <c r="I218" s="132">
        <v>411</v>
      </c>
      <c r="J218" s="132">
        <f t="shared" si="20"/>
        <v>822</v>
      </c>
      <c r="K218" s="129" t="s">
        <v>148</v>
      </c>
      <c r="L218" s="27"/>
      <c r="M218" s="133" t="s">
        <v>1</v>
      </c>
      <c r="N218" s="134" t="s">
        <v>39</v>
      </c>
      <c r="O218" s="135">
        <v>0.2</v>
      </c>
      <c r="P218" s="135">
        <f t="shared" si="21"/>
        <v>0.4</v>
      </c>
      <c r="Q218" s="135">
        <v>3.5E-4</v>
      </c>
      <c r="R218" s="135">
        <f t="shared" si="22"/>
        <v>6.9999999999999999E-4</v>
      </c>
      <c r="S218" s="135">
        <v>0</v>
      </c>
      <c r="T218" s="136">
        <f t="shared" si="23"/>
        <v>0</v>
      </c>
      <c r="AR218" s="137" t="s">
        <v>206</v>
      </c>
      <c r="AT218" s="137" t="s">
        <v>144</v>
      </c>
      <c r="AU218" s="137" t="s">
        <v>143</v>
      </c>
      <c r="AY218" s="15" t="s">
        <v>141</v>
      </c>
      <c r="BE218" s="138">
        <f t="shared" si="24"/>
        <v>0</v>
      </c>
      <c r="BF218" s="138">
        <f t="shared" si="25"/>
        <v>822</v>
      </c>
      <c r="BG218" s="138">
        <f t="shared" si="26"/>
        <v>0</v>
      </c>
      <c r="BH218" s="138">
        <f t="shared" si="27"/>
        <v>0</v>
      </c>
      <c r="BI218" s="138">
        <f t="shared" si="28"/>
        <v>0</v>
      </c>
      <c r="BJ218" s="15" t="s">
        <v>143</v>
      </c>
      <c r="BK218" s="138">
        <f t="shared" si="29"/>
        <v>822</v>
      </c>
      <c r="BL218" s="15" t="s">
        <v>206</v>
      </c>
      <c r="BM218" s="137" t="s">
        <v>1873</v>
      </c>
    </row>
    <row r="219" spans="2:65" s="1" customFormat="1" ht="24.2" customHeight="1">
      <c r="B219" s="126"/>
      <c r="C219" s="127" t="s">
        <v>409</v>
      </c>
      <c r="D219" s="127" t="s">
        <v>144</v>
      </c>
      <c r="E219" s="128" t="s">
        <v>1872</v>
      </c>
      <c r="F219" s="129" t="s">
        <v>1871</v>
      </c>
      <c r="G219" s="130" t="s">
        <v>147</v>
      </c>
      <c r="H219" s="131">
        <v>3</v>
      </c>
      <c r="I219" s="132">
        <v>819</v>
      </c>
      <c r="J219" s="132">
        <f t="shared" si="20"/>
        <v>2457</v>
      </c>
      <c r="K219" s="129" t="s">
        <v>148</v>
      </c>
      <c r="L219" s="27"/>
      <c r="M219" s="133" t="s">
        <v>1</v>
      </c>
      <c r="N219" s="134" t="s">
        <v>39</v>
      </c>
      <c r="O219" s="135">
        <v>0.26</v>
      </c>
      <c r="P219" s="135">
        <f t="shared" si="21"/>
        <v>0.78</v>
      </c>
      <c r="Q219" s="135">
        <v>7.6000000000000004E-4</v>
      </c>
      <c r="R219" s="135">
        <f t="shared" si="22"/>
        <v>2.2799999999999999E-3</v>
      </c>
      <c r="S219" s="135">
        <v>0</v>
      </c>
      <c r="T219" s="136">
        <f t="shared" si="23"/>
        <v>0</v>
      </c>
      <c r="AR219" s="137" t="s">
        <v>206</v>
      </c>
      <c r="AT219" s="137" t="s">
        <v>144</v>
      </c>
      <c r="AU219" s="137" t="s">
        <v>143</v>
      </c>
      <c r="AY219" s="15" t="s">
        <v>141</v>
      </c>
      <c r="BE219" s="138">
        <f t="shared" si="24"/>
        <v>0</v>
      </c>
      <c r="BF219" s="138">
        <f t="shared" si="25"/>
        <v>2457</v>
      </c>
      <c r="BG219" s="138">
        <f t="shared" si="26"/>
        <v>0</v>
      </c>
      <c r="BH219" s="138">
        <f t="shared" si="27"/>
        <v>0</v>
      </c>
      <c r="BI219" s="138">
        <f t="shared" si="28"/>
        <v>0</v>
      </c>
      <c r="BJ219" s="15" t="s">
        <v>143</v>
      </c>
      <c r="BK219" s="138">
        <f t="shared" si="29"/>
        <v>2457</v>
      </c>
      <c r="BL219" s="15" t="s">
        <v>206</v>
      </c>
      <c r="BM219" s="137" t="s">
        <v>1870</v>
      </c>
    </row>
    <row r="220" spans="2:65" s="1" customFormat="1" ht="24.2" customHeight="1">
      <c r="B220" s="126"/>
      <c r="C220" s="127" t="s">
        <v>413</v>
      </c>
      <c r="D220" s="127" t="s">
        <v>144</v>
      </c>
      <c r="E220" s="128" t="s">
        <v>1869</v>
      </c>
      <c r="F220" s="129" t="s">
        <v>1868</v>
      </c>
      <c r="G220" s="130" t="s">
        <v>147</v>
      </c>
      <c r="H220" s="131">
        <v>1</v>
      </c>
      <c r="I220" s="132">
        <v>266</v>
      </c>
      <c r="J220" s="132">
        <f t="shared" si="20"/>
        <v>266</v>
      </c>
      <c r="K220" s="129" t="s">
        <v>148</v>
      </c>
      <c r="L220" s="27"/>
      <c r="M220" s="133" t="s">
        <v>1</v>
      </c>
      <c r="N220" s="134" t="s">
        <v>39</v>
      </c>
      <c r="O220" s="135">
        <v>0.2</v>
      </c>
      <c r="P220" s="135">
        <f t="shared" si="21"/>
        <v>0.2</v>
      </c>
      <c r="Q220" s="135">
        <v>2.2000000000000001E-4</v>
      </c>
      <c r="R220" s="135">
        <f t="shared" si="22"/>
        <v>2.2000000000000001E-4</v>
      </c>
      <c r="S220" s="135">
        <v>0</v>
      </c>
      <c r="T220" s="136">
        <f t="shared" si="23"/>
        <v>0</v>
      </c>
      <c r="AR220" s="137" t="s">
        <v>206</v>
      </c>
      <c r="AT220" s="137" t="s">
        <v>144</v>
      </c>
      <c r="AU220" s="137" t="s">
        <v>143</v>
      </c>
      <c r="AY220" s="15" t="s">
        <v>141</v>
      </c>
      <c r="BE220" s="138">
        <f t="shared" si="24"/>
        <v>0</v>
      </c>
      <c r="BF220" s="138">
        <f t="shared" si="25"/>
        <v>266</v>
      </c>
      <c r="BG220" s="138">
        <f t="shared" si="26"/>
        <v>0</v>
      </c>
      <c r="BH220" s="138">
        <f t="shared" si="27"/>
        <v>0</v>
      </c>
      <c r="BI220" s="138">
        <f t="shared" si="28"/>
        <v>0</v>
      </c>
      <c r="BJ220" s="15" t="s">
        <v>143</v>
      </c>
      <c r="BK220" s="138">
        <f t="shared" si="29"/>
        <v>266</v>
      </c>
      <c r="BL220" s="15" t="s">
        <v>206</v>
      </c>
      <c r="BM220" s="137" t="s">
        <v>1867</v>
      </c>
    </row>
    <row r="221" spans="2:65" s="1" customFormat="1" ht="24.2" customHeight="1">
      <c r="B221" s="126"/>
      <c r="C221" s="127" t="s">
        <v>417</v>
      </c>
      <c r="D221" s="127" t="s">
        <v>144</v>
      </c>
      <c r="E221" s="128" t="s">
        <v>1866</v>
      </c>
      <c r="F221" s="129" t="s">
        <v>1865</v>
      </c>
      <c r="G221" s="130" t="s">
        <v>147</v>
      </c>
      <c r="H221" s="131">
        <v>1</v>
      </c>
      <c r="I221" s="132">
        <v>2140</v>
      </c>
      <c r="J221" s="132">
        <f t="shared" si="20"/>
        <v>2140</v>
      </c>
      <c r="K221" s="129" t="s">
        <v>148</v>
      </c>
      <c r="L221" s="27"/>
      <c r="M221" s="133" t="s">
        <v>1</v>
      </c>
      <c r="N221" s="134" t="s">
        <v>39</v>
      </c>
      <c r="O221" s="135">
        <v>0.39300000000000002</v>
      </c>
      <c r="P221" s="135">
        <f t="shared" si="21"/>
        <v>0.39300000000000002</v>
      </c>
      <c r="Q221" s="135">
        <v>3.2699999999999999E-3</v>
      </c>
      <c r="R221" s="135">
        <f t="shared" si="22"/>
        <v>3.2699999999999999E-3</v>
      </c>
      <c r="S221" s="135">
        <v>0</v>
      </c>
      <c r="T221" s="136">
        <f t="shared" si="23"/>
        <v>0</v>
      </c>
      <c r="AR221" s="137" t="s">
        <v>206</v>
      </c>
      <c r="AT221" s="137" t="s">
        <v>144</v>
      </c>
      <c r="AU221" s="137" t="s">
        <v>143</v>
      </c>
      <c r="AY221" s="15" t="s">
        <v>141</v>
      </c>
      <c r="BE221" s="138">
        <f t="shared" si="24"/>
        <v>0</v>
      </c>
      <c r="BF221" s="138">
        <f t="shared" si="25"/>
        <v>2140</v>
      </c>
      <c r="BG221" s="138">
        <f t="shared" si="26"/>
        <v>0</v>
      </c>
      <c r="BH221" s="138">
        <f t="shared" si="27"/>
        <v>0</v>
      </c>
      <c r="BI221" s="138">
        <f t="shared" si="28"/>
        <v>0</v>
      </c>
      <c r="BJ221" s="15" t="s">
        <v>143</v>
      </c>
      <c r="BK221" s="138">
        <f t="shared" si="29"/>
        <v>2140</v>
      </c>
      <c r="BL221" s="15" t="s">
        <v>206</v>
      </c>
      <c r="BM221" s="137" t="s">
        <v>1864</v>
      </c>
    </row>
    <row r="222" spans="2:65" s="1" customFormat="1" ht="37.9" customHeight="1">
      <c r="B222" s="126"/>
      <c r="C222" s="127" t="s">
        <v>421</v>
      </c>
      <c r="D222" s="127" t="s">
        <v>144</v>
      </c>
      <c r="E222" s="128" t="s">
        <v>1863</v>
      </c>
      <c r="F222" s="129" t="s">
        <v>1862</v>
      </c>
      <c r="G222" s="130" t="s">
        <v>193</v>
      </c>
      <c r="H222" s="131">
        <v>470</v>
      </c>
      <c r="I222" s="132">
        <v>60.3</v>
      </c>
      <c r="J222" s="132">
        <f t="shared" si="20"/>
        <v>28341</v>
      </c>
      <c r="K222" s="129" t="s">
        <v>148</v>
      </c>
      <c r="L222" s="27"/>
      <c r="M222" s="133" t="s">
        <v>1</v>
      </c>
      <c r="N222" s="134" t="s">
        <v>39</v>
      </c>
      <c r="O222" s="135">
        <v>6.7000000000000004E-2</v>
      </c>
      <c r="P222" s="135">
        <f t="shared" si="21"/>
        <v>31.490000000000002</v>
      </c>
      <c r="Q222" s="135">
        <v>1.9000000000000001E-4</v>
      </c>
      <c r="R222" s="135">
        <f t="shared" si="22"/>
        <v>8.9300000000000004E-2</v>
      </c>
      <c r="S222" s="135">
        <v>0</v>
      </c>
      <c r="T222" s="136">
        <f t="shared" si="23"/>
        <v>0</v>
      </c>
      <c r="AR222" s="137" t="s">
        <v>206</v>
      </c>
      <c r="AT222" s="137" t="s">
        <v>144</v>
      </c>
      <c r="AU222" s="137" t="s">
        <v>143</v>
      </c>
      <c r="AY222" s="15" t="s">
        <v>141</v>
      </c>
      <c r="BE222" s="138">
        <f t="shared" si="24"/>
        <v>0</v>
      </c>
      <c r="BF222" s="138">
        <f t="shared" si="25"/>
        <v>28341</v>
      </c>
      <c r="BG222" s="138">
        <f t="shared" si="26"/>
        <v>0</v>
      </c>
      <c r="BH222" s="138">
        <f t="shared" si="27"/>
        <v>0</v>
      </c>
      <c r="BI222" s="138">
        <f t="shared" si="28"/>
        <v>0</v>
      </c>
      <c r="BJ222" s="15" t="s">
        <v>143</v>
      </c>
      <c r="BK222" s="138">
        <f t="shared" si="29"/>
        <v>28341</v>
      </c>
      <c r="BL222" s="15" t="s">
        <v>206</v>
      </c>
      <c r="BM222" s="137" t="s">
        <v>1861</v>
      </c>
    </row>
    <row r="223" spans="2:65" s="1" customFormat="1" ht="33" customHeight="1">
      <c r="B223" s="126"/>
      <c r="C223" s="127" t="s">
        <v>426</v>
      </c>
      <c r="D223" s="127" t="s">
        <v>144</v>
      </c>
      <c r="E223" s="128" t="s">
        <v>1860</v>
      </c>
      <c r="F223" s="129" t="s">
        <v>1859</v>
      </c>
      <c r="G223" s="130" t="s">
        <v>193</v>
      </c>
      <c r="H223" s="131">
        <v>470</v>
      </c>
      <c r="I223" s="132">
        <v>48.4</v>
      </c>
      <c r="J223" s="132">
        <f t="shared" si="20"/>
        <v>22748</v>
      </c>
      <c r="K223" s="129" t="s">
        <v>148</v>
      </c>
      <c r="L223" s="27"/>
      <c r="M223" s="133" t="s">
        <v>1</v>
      </c>
      <c r="N223" s="134" t="s">
        <v>39</v>
      </c>
      <c r="O223" s="135">
        <v>8.2000000000000003E-2</v>
      </c>
      <c r="P223" s="135">
        <f t="shared" si="21"/>
        <v>38.54</v>
      </c>
      <c r="Q223" s="135">
        <v>1.0000000000000001E-5</v>
      </c>
      <c r="R223" s="135">
        <f t="shared" si="22"/>
        <v>4.7000000000000002E-3</v>
      </c>
      <c r="S223" s="135">
        <v>0</v>
      </c>
      <c r="T223" s="136">
        <f t="shared" si="23"/>
        <v>0</v>
      </c>
      <c r="AR223" s="137" t="s">
        <v>206</v>
      </c>
      <c r="AT223" s="137" t="s">
        <v>144</v>
      </c>
      <c r="AU223" s="137" t="s">
        <v>143</v>
      </c>
      <c r="AY223" s="15" t="s">
        <v>141</v>
      </c>
      <c r="BE223" s="138">
        <f t="shared" si="24"/>
        <v>0</v>
      </c>
      <c r="BF223" s="138">
        <f t="shared" si="25"/>
        <v>22748</v>
      </c>
      <c r="BG223" s="138">
        <f t="shared" si="26"/>
        <v>0</v>
      </c>
      <c r="BH223" s="138">
        <f t="shared" si="27"/>
        <v>0</v>
      </c>
      <c r="BI223" s="138">
        <f t="shared" si="28"/>
        <v>0</v>
      </c>
      <c r="BJ223" s="15" t="s">
        <v>143</v>
      </c>
      <c r="BK223" s="138">
        <f t="shared" si="29"/>
        <v>22748</v>
      </c>
      <c r="BL223" s="15" t="s">
        <v>206</v>
      </c>
      <c r="BM223" s="137" t="s">
        <v>1858</v>
      </c>
    </row>
    <row r="224" spans="2:65" s="1" customFormat="1" ht="44.25" customHeight="1">
      <c r="B224" s="126"/>
      <c r="C224" s="127" t="s">
        <v>431</v>
      </c>
      <c r="D224" s="127" t="s">
        <v>144</v>
      </c>
      <c r="E224" s="128" t="s">
        <v>1857</v>
      </c>
      <c r="F224" s="129" t="s">
        <v>1856</v>
      </c>
      <c r="G224" s="130" t="s">
        <v>179</v>
      </c>
      <c r="H224" s="131">
        <v>0.89800000000000002</v>
      </c>
      <c r="I224" s="132">
        <v>656</v>
      </c>
      <c r="J224" s="132">
        <f t="shared" si="20"/>
        <v>589.09</v>
      </c>
      <c r="K224" s="129" t="s">
        <v>148</v>
      </c>
      <c r="L224" s="27"/>
      <c r="M224" s="133" t="s">
        <v>1</v>
      </c>
      <c r="N224" s="134" t="s">
        <v>39</v>
      </c>
      <c r="O224" s="135">
        <v>1.327</v>
      </c>
      <c r="P224" s="135">
        <f t="shared" si="21"/>
        <v>1.191646</v>
      </c>
      <c r="Q224" s="135">
        <v>0</v>
      </c>
      <c r="R224" s="135">
        <f t="shared" si="22"/>
        <v>0</v>
      </c>
      <c r="S224" s="135">
        <v>0</v>
      </c>
      <c r="T224" s="136">
        <f t="shared" si="23"/>
        <v>0</v>
      </c>
      <c r="AR224" s="137" t="s">
        <v>206</v>
      </c>
      <c r="AT224" s="137" t="s">
        <v>144</v>
      </c>
      <c r="AU224" s="137" t="s">
        <v>143</v>
      </c>
      <c r="AY224" s="15" t="s">
        <v>141</v>
      </c>
      <c r="BE224" s="138">
        <f t="shared" si="24"/>
        <v>0</v>
      </c>
      <c r="BF224" s="138">
        <f t="shared" si="25"/>
        <v>589.09</v>
      </c>
      <c r="BG224" s="138">
        <f t="shared" si="26"/>
        <v>0</v>
      </c>
      <c r="BH224" s="138">
        <f t="shared" si="27"/>
        <v>0</v>
      </c>
      <c r="BI224" s="138">
        <f t="shared" si="28"/>
        <v>0</v>
      </c>
      <c r="BJ224" s="15" t="s">
        <v>143</v>
      </c>
      <c r="BK224" s="138">
        <f t="shared" si="29"/>
        <v>589.09</v>
      </c>
      <c r="BL224" s="15" t="s">
        <v>206</v>
      </c>
      <c r="BM224" s="137" t="s">
        <v>1855</v>
      </c>
    </row>
    <row r="225" spans="2:65" s="11" customFormat="1" ht="22.9" customHeight="1">
      <c r="B225" s="115"/>
      <c r="D225" s="116" t="s">
        <v>72</v>
      </c>
      <c r="E225" s="124" t="s">
        <v>1854</v>
      </c>
      <c r="F225" s="124" t="s">
        <v>1853</v>
      </c>
      <c r="J225" s="125">
        <f>BK225</f>
        <v>355527.46</v>
      </c>
      <c r="L225" s="115"/>
      <c r="M225" s="119"/>
      <c r="P225" s="120">
        <f>SUM(P226:P251)</f>
        <v>73.194987999999981</v>
      </c>
      <c r="R225" s="120">
        <f>SUM(R226:R251)</f>
        <v>0.76425000000000021</v>
      </c>
      <c r="T225" s="121">
        <f>SUM(T226:T251)</f>
        <v>0</v>
      </c>
      <c r="AR225" s="116" t="s">
        <v>143</v>
      </c>
      <c r="AT225" s="122" t="s">
        <v>72</v>
      </c>
      <c r="AU225" s="122" t="s">
        <v>81</v>
      </c>
      <c r="AY225" s="116" t="s">
        <v>141</v>
      </c>
      <c r="BK225" s="123">
        <f>SUM(BK226:BK251)</f>
        <v>355527.46</v>
      </c>
    </row>
    <row r="226" spans="2:65" s="1" customFormat="1" ht="33" customHeight="1">
      <c r="B226" s="126"/>
      <c r="C226" s="127" t="s">
        <v>435</v>
      </c>
      <c r="D226" s="127" t="s">
        <v>144</v>
      </c>
      <c r="E226" s="128" t="s">
        <v>1852</v>
      </c>
      <c r="F226" s="129" t="s">
        <v>1851</v>
      </c>
      <c r="G226" s="130" t="s">
        <v>1111</v>
      </c>
      <c r="H226" s="131">
        <v>5</v>
      </c>
      <c r="I226" s="132">
        <v>5060</v>
      </c>
      <c r="J226" s="132">
        <f t="shared" ref="J226:J251" si="30">ROUND(I226*H226,2)</f>
        <v>25300</v>
      </c>
      <c r="K226" s="129" t="s">
        <v>148</v>
      </c>
      <c r="L226" s="27"/>
      <c r="M226" s="133" t="s">
        <v>1</v>
      </c>
      <c r="N226" s="134" t="s">
        <v>39</v>
      </c>
      <c r="O226" s="135">
        <v>1.1000000000000001</v>
      </c>
      <c r="P226" s="135">
        <f t="shared" ref="P226:P251" si="31">O226*H226</f>
        <v>5.5</v>
      </c>
      <c r="Q226" s="135">
        <v>1.6969999999999999E-2</v>
      </c>
      <c r="R226" s="135">
        <f t="shared" ref="R226:R251" si="32">Q226*H226</f>
        <v>8.4849999999999995E-2</v>
      </c>
      <c r="S226" s="135">
        <v>0</v>
      </c>
      <c r="T226" s="136">
        <f t="shared" ref="T226:T251" si="33">S226*H226</f>
        <v>0</v>
      </c>
      <c r="AR226" s="137" t="s">
        <v>206</v>
      </c>
      <c r="AT226" s="137" t="s">
        <v>144</v>
      </c>
      <c r="AU226" s="137" t="s">
        <v>143</v>
      </c>
      <c r="AY226" s="15" t="s">
        <v>141</v>
      </c>
      <c r="BE226" s="138">
        <f t="shared" ref="BE226:BE251" si="34">IF(N226="základní",J226,0)</f>
        <v>0</v>
      </c>
      <c r="BF226" s="138">
        <f t="shared" ref="BF226:BF251" si="35">IF(N226="snížená",J226,0)</f>
        <v>25300</v>
      </c>
      <c r="BG226" s="138">
        <f t="shared" ref="BG226:BG251" si="36">IF(N226="zákl. přenesená",J226,0)</f>
        <v>0</v>
      </c>
      <c r="BH226" s="138">
        <f t="shared" ref="BH226:BH251" si="37">IF(N226="sníž. přenesená",J226,0)</f>
        <v>0</v>
      </c>
      <c r="BI226" s="138">
        <f t="shared" ref="BI226:BI251" si="38">IF(N226="nulová",J226,0)</f>
        <v>0</v>
      </c>
      <c r="BJ226" s="15" t="s">
        <v>143</v>
      </c>
      <c r="BK226" s="138">
        <f t="shared" ref="BK226:BK251" si="39">ROUND(I226*H226,2)</f>
        <v>25300</v>
      </c>
      <c r="BL226" s="15" t="s">
        <v>206</v>
      </c>
      <c r="BM226" s="137" t="s">
        <v>1850</v>
      </c>
    </row>
    <row r="227" spans="2:65" s="1" customFormat="1" ht="24.2" customHeight="1">
      <c r="B227" s="126"/>
      <c r="C227" s="127" t="s">
        <v>439</v>
      </c>
      <c r="D227" s="127" t="s">
        <v>144</v>
      </c>
      <c r="E227" s="128" t="s">
        <v>1849</v>
      </c>
      <c r="F227" s="129" t="s">
        <v>1848</v>
      </c>
      <c r="G227" s="130" t="s">
        <v>1111</v>
      </c>
      <c r="H227" s="131">
        <v>3</v>
      </c>
      <c r="I227" s="132">
        <v>11100</v>
      </c>
      <c r="J227" s="132">
        <f t="shared" si="30"/>
        <v>33300</v>
      </c>
      <c r="K227" s="129" t="s">
        <v>148</v>
      </c>
      <c r="L227" s="27"/>
      <c r="M227" s="133" t="s">
        <v>1</v>
      </c>
      <c r="N227" s="134" t="s">
        <v>39</v>
      </c>
      <c r="O227" s="135">
        <v>1.4</v>
      </c>
      <c r="P227" s="135">
        <f t="shared" si="31"/>
        <v>4.1999999999999993</v>
      </c>
      <c r="Q227" s="135">
        <v>3.9910000000000001E-2</v>
      </c>
      <c r="R227" s="135">
        <f t="shared" si="32"/>
        <v>0.11973</v>
      </c>
      <c r="S227" s="135">
        <v>0</v>
      </c>
      <c r="T227" s="136">
        <f t="shared" si="33"/>
        <v>0</v>
      </c>
      <c r="AR227" s="137" t="s">
        <v>206</v>
      </c>
      <c r="AT227" s="137" t="s">
        <v>144</v>
      </c>
      <c r="AU227" s="137" t="s">
        <v>143</v>
      </c>
      <c r="AY227" s="15" t="s">
        <v>141</v>
      </c>
      <c r="BE227" s="138">
        <f t="shared" si="34"/>
        <v>0</v>
      </c>
      <c r="BF227" s="138">
        <f t="shared" si="35"/>
        <v>33300</v>
      </c>
      <c r="BG227" s="138">
        <f t="shared" si="36"/>
        <v>0</v>
      </c>
      <c r="BH227" s="138">
        <f t="shared" si="37"/>
        <v>0</v>
      </c>
      <c r="BI227" s="138">
        <f t="shared" si="38"/>
        <v>0</v>
      </c>
      <c r="BJ227" s="15" t="s">
        <v>143</v>
      </c>
      <c r="BK227" s="138">
        <f t="shared" si="39"/>
        <v>33300</v>
      </c>
      <c r="BL227" s="15" t="s">
        <v>206</v>
      </c>
      <c r="BM227" s="137" t="s">
        <v>1847</v>
      </c>
    </row>
    <row r="228" spans="2:65" s="1" customFormat="1" ht="37.9" customHeight="1">
      <c r="B228" s="126"/>
      <c r="C228" s="127" t="s">
        <v>443</v>
      </c>
      <c r="D228" s="127" t="s">
        <v>144</v>
      </c>
      <c r="E228" s="128" t="s">
        <v>1846</v>
      </c>
      <c r="F228" s="129" t="s">
        <v>1845</v>
      </c>
      <c r="G228" s="130" t="s">
        <v>1111</v>
      </c>
      <c r="H228" s="131">
        <v>8</v>
      </c>
      <c r="I228" s="132">
        <v>4890</v>
      </c>
      <c r="J228" s="132">
        <f t="shared" si="30"/>
        <v>39120</v>
      </c>
      <c r="K228" s="129" t="s">
        <v>148</v>
      </c>
      <c r="L228" s="27"/>
      <c r="M228" s="133" t="s">
        <v>1</v>
      </c>
      <c r="N228" s="134" t="s">
        <v>39</v>
      </c>
      <c r="O228" s="135">
        <v>1.2</v>
      </c>
      <c r="P228" s="135">
        <f t="shared" si="31"/>
        <v>9.6</v>
      </c>
      <c r="Q228" s="135">
        <v>2.223E-2</v>
      </c>
      <c r="R228" s="135">
        <f t="shared" si="32"/>
        <v>0.17784</v>
      </c>
      <c r="S228" s="135">
        <v>0</v>
      </c>
      <c r="T228" s="136">
        <f t="shared" si="33"/>
        <v>0</v>
      </c>
      <c r="AR228" s="137" t="s">
        <v>206</v>
      </c>
      <c r="AT228" s="137" t="s">
        <v>144</v>
      </c>
      <c r="AU228" s="137" t="s">
        <v>143</v>
      </c>
      <c r="AY228" s="15" t="s">
        <v>141</v>
      </c>
      <c r="BE228" s="138">
        <f t="shared" si="34"/>
        <v>0</v>
      </c>
      <c r="BF228" s="138">
        <f t="shared" si="35"/>
        <v>39120</v>
      </c>
      <c r="BG228" s="138">
        <f t="shared" si="36"/>
        <v>0</v>
      </c>
      <c r="BH228" s="138">
        <f t="shared" si="37"/>
        <v>0</v>
      </c>
      <c r="BI228" s="138">
        <f t="shared" si="38"/>
        <v>0</v>
      </c>
      <c r="BJ228" s="15" t="s">
        <v>143</v>
      </c>
      <c r="BK228" s="138">
        <f t="shared" si="39"/>
        <v>39120</v>
      </c>
      <c r="BL228" s="15" t="s">
        <v>206</v>
      </c>
      <c r="BM228" s="137" t="s">
        <v>1844</v>
      </c>
    </row>
    <row r="229" spans="2:65" s="1" customFormat="1" ht="37.9" customHeight="1">
      <c r="B229" s="126"/>
      <c r="C229" s="127" t="s">
        <v>447</v>
      </c>
      <c r="D229" s="127" t="s">
        <v>144</v>
      </c>
      <c r="E229" s="128" t="s">
        <v>1843</v>
      </c>
      <c r="F229" s="129" t="s">
        <v>1842</v>
      </c>
      <c r="G229" s="130" t="s">
        <v>1111</v>
      </c>
      <c r="H229" s="131">
        <v>4</v>
      </c>
      <c r="I229" s="132">
        <v>3180</v>
      </c>
      <c r="J229" s="132">
        <f t="shared" si="30"/>
        <v>12720</v>
      </c>
      <c r="K229" s="129" t="s">
        <v>148</v>
      </c>
      <c r="L229" s="27"/>
      <c r="M229" s="133" t="s">
        <v>1</v>
      </c>
      <c r="N229" s="134" t="s">
        <v>39</v>
      </c>
      <c r="O229" s="135">
        <v>1.1000000000000001</v>
      </c>
      <c r="P229" s="135">
        <f t="shared" si="31"/>
        <v>4.4000000000000004</v>
      </c>
      <c r="Q229" s="135">
        <v>1.9210000000000001E-2</v>
      </c>
      <c r="R229" s="135">
        <f t="shared" si="32"/>
        <v>7.6840000000000006E-2</v>
      </c>
      <c r="S229" s="135">
        <v>0</v>
      </c>
      <c r="T229" s="136">
        <f t="shared" si="33"/>
        <v>0</v>
      </c>
      <c r="AR229" s="137" t="s">
        <v>206</v>
      </c>
      <c r="AT229" s="137" t="s">
        <v>144</v>
      </c>
      <c r="AU229" s="137" t="s">
        <v>143</v>
      </c>
      <c r="AY229" s="15" t="s">
        <v>141</v>
      </c>
      <c r="BE229" s="138">
        <f t="shared" si="34"/>
        <v>0</v>
      </c>
      <c r="BF229" s="138">
        <f t="shared" si="35"/>
        <v>12720</v>
      </c>
      <c r="BG229" s="138">
        <f t="shared" si="36"/>
        <v>0</v>
      </c>
      <c r="BH229" s="138">
        <f t="shared" si="37"/>
        <v>0</v>
      </c>
      <c r="BI229" s="138">
        <f t="shared" si="38"/>
        <v>0</v>
      </c>
      <c r="BJ229" s="15" t="s">
        <v>143</v>
      </c>
      <c r="BK229" s="138">
        <f t="shared" si="39"/>
        <v>12720</v>
      </c>
      <c r="BL229" s="15" t="s">
        <v>206</v>
      </c>
      <c r="BM229" s="137" t="s">
        <v>1841</v>
      </c>
    </row>
    <row r="230" spans="2:65" s="1" customFormat="1" ht="37.9" customHeight="1">
      <c r="B230" s="126"/>
      <c r="C230" s="127" t="s">
        <v>452</v>
      </c>
      <c r="D230" s="127" t="s">
        <v>144</v>
      </c>
      <c r="E230" s="128" t="s">
        <v>1840</v>
      </c>
      <c r="F230" s="129" t="s">
        <v>1839</v>
      </c>
      <c r="G230" s="130" t="s">
        <v>1111</v>
      </c>
      <c r="H230" s="131">
        <v>1</v>
      </c>
      <c r="I230" s="132">
        <v>4040</v>
      </c>
      <c r="J230" s="132">
        <f t="shared" si="30"/>
        <v>4040</v>
      </c>
      <c r="K230" s="129" t="s">
        <v>148</v>
      </c>
      <c r="L230" s="27"/>
      <c r="M230" s="133" t="s">
        <v>1</v>
      </c>
      <c r="N230" s="134" t="s">
        <v>39</v>
      </c>
      <c r="O230" s="135">
        <v>1.1000000000000001</v>
      </c>
      <c r="P230" s="135">
        <f t="shared" si="31"/>
        <v>1.1000000000000001</v>
      </c>
      <c r="Q230" s="135">
        <v>1.047E-2</v>
      </c>
      <c r="R230" s="135">
        <f t="shared" si="32"/>
        <v>1.047E-2</v>
      </c>
      <c r="S230" s="135">
        <v>0</v>
      </c>
      <c r="T230" s="136">
        <f t="shared" si="33"/>
        <v>0</v>
      </c>
      <c r="AR230" s="137" t="s">
        <v>206</v>
      </c>
      <c r="AT230" s="137" t="s">
        <v>144</v>
      </c>
      <c r="AU230" s="137" t="s">
        <v>143</v>
      </c>
      <c r="AY230" s="15" t="s">
        <v>141</v>
      </c>
      <c r="BE230" s="138">
        <f t="shared" si="34"/>
        <v>0</v>
      </c>
      <c r="BF230" s="138">
        <f t="shared" si="35"/>
        <v>4040</v>
      </c>
      <c r="BG230" s="138">
        <f t="shared" si="36"/>
        <v>0</v>
      </c>
      <c r="BH230" s="138">
        <f t="shared" si="37"/>
        <v>0</v>
      </c>
      <c r="BI230" s="138">
        <f t="shared" si="38"/>
        <v>0</v>
      </c>
      <c r="BJ230" s="15" t="s">
        <v>143</v>
      </c>
      <c r="BK230" s="138">
        <f t="shared" si="39"/>
        <v>4040</v>
      </c>
      <c r="BL230" s="15" t="s">
        <v>206</v>
      </c>
      <c r="BM230" s="137" t="s">
        <v>1838</v>
      </c>
    </row>
    <row r="231" spans="2:65" s="1" customFormat="1" ht="24.2" customHeight="1">
      <c r="B231" s="126"/>
      <c r="C231" s="127" t="s">
        <v>457</v>
      </c>
      <c r="D231" s="127" t="s">
        <v>144</v>
      </c>
      <c r="E231" s="128" t="s">
        <v>1837</v>
      </c>
      <c r="F231" s="129" t="s">
        <v>1836</v>
      </c>
      <c r="G231" s="130" t="s">
        <v>1111</v>
      </c>
      <c r="H231" s="131">
        <v>2</v>
      </c>
      <c r="I231" s="132">
        <v>2240</v>
      </c>
      <c r="J231" s="132">
        <f t="shared" si="30"/>
        <v>4480</v>
      </c>
      <c r="K231" s="129" t="s">
        <v>148</v>
      </c>
      <c r="L231" s="27"/>
      <c r="M231" s="133" t="s">
        <v>1</v>
      </c>
      <c r="N231" s="134" t="s">
        <v>39</v>
      </c>
      <c r="O231" s="135">
        <v>2.4620000000000002</v>
      </c>
      <c r="P231" s="135">
        <f t="shared" si="31"/>
        <v>4.9240000000000004</v>
      </c>
      <c r="Q231" s="135">
        <v>1.57E-3</v>
      </c>
      <c r="R231" s="135">
        <f t="shared" si="32"/>
        <v>3.14E-3</v>
      </c>
      <c r="S231" s="135">
        <v>0</v>
      </c>
      <c r="T231" s="136">
        <f t="shared" si="33"/>
        <v>0</v>
      </c>
      <c r="AR231" s="137" t="s">
        <v>206</v>
      </c>
      <c r="AT231" s="137" t="s">
        <v>144</v>
      </c>
      <c r="AU231" s="137" t="s">
        <v>143</v>
      </c>
      <c r="AY231" s="15" t="s">
        <v>141</v>
      </c>
      <c r="BE231" s="138">
        <f t="shared" si="34"/>
        <v>0</v>
      </c>
      <c r="BF231" s="138">
        <f t="shared" si="35"/>
        <v>4480</v>
      </c>
      <c r="BG231" s="138">
        <f t="shared" si="36"/>
        <v>0</v>
      </c>
      <c r="BH231" s="138">
        <f t="shared" si="37"/>
        <v>0</v>
      </c>
      <c r="BI231" s="138">
        <f t="shared" si="38"/>
        <v>0</v>
      </c>
      <c r="BJ231" s="15" t="s">
        <v>143</v>
      </c>
      <c r="BK231" s="138">
        <f t="shared" si="39"/>
        <v>4480</v>
      </c>
      <c r="BL231" s="15" t="s">
        <v>206</v>
      </c>
      <c r="BM231" s="137" t="s">
        <v>1835</v>
      </c>
    </row>
    <row r="232" spans="2:65" s="1" customFormat="1" ht="16.5" customHeight="1">
      <c r="B232" s="126"/>
      <c r="C232" s="139" t="s">
        <v>461</v>
      </c>
      <c r="D232" s="139" t="s">
        <v>207</v>
      </c>
      <c r="E232" s="140" t="s">
        <v>1834</v>
      </c>
      <c r="F232" s="141" t="s">
        <v>1833</v>
      </c>
      <c r="G232" s="142" t="s">
        <v>147</v>
      </c>
      <c r="H232" s="143">
        <v>2</v>
      </c>
      <c r="I232" s="144">
        <v>24983</v>
      </c>
      <c r="J232" s="144">
        <f t="shared" si="30"/>
        <v>49966</v>
      </c>
      <c r="K232" s="141" t="s">
        <v>1</v>
      </c>
      <c r="L232" s="145"/>
      <c r="M232" s="146" t="s">
        <v>1</v>
      </c>
      <c r="N232" s="147" t="s">
        <v>39</v>
      </c>
      <c r="O232" s="135">
        <v>0</v>
      </c>
      <c r="P232" s="135">
        <f t="shared" si="31"/>
        <v>0</v>
      </c>
      <c r="Q232" s="135">
        <v>0</v>
      </c>
      <c r="R232" s="135">
        <f t="shared" si="32"/>
        <v>0</v>
      </c>
      <c r="S232" s="135">
        <v>0</v>
      </c>
      <c r="T232" s="136">
        <f t="shared" si="33"/>
        <v>0</v>
      </c>
      <c r="AR232" s="137" t="s">
        <v>274</v>
      </c>
      <c r="AT232" s="137" t="s">
        <v>207</v>
      </c>
      <c r="AU232" s="137" t="s">
        <v>143</v>
      </c>
      <c r="AY232" s="15" t="s">
        <v>141</v>
      </c>
      <c r="BE232" s="138">
        <f t="shared" si="34"/>
        <v>0</v>
      </c>
      <c r="BF232" s="138">
        <f t="shared" si="35"/>
        <v>49966</v>
      </c>
      <c r="BG232" s="138">
        <f t="shared" si="36"/>
        <v>0</v>
      </c>
      <c r="BH232" s="138">
        <f t="shared" si="37"/>
        <v>0</v>
      </c>
      <c r="BI232" s="138">
        <f t="shared" si="38"/>
        <v>0</v>
      </c>
      <c r="BJ232" s="15" t="s">
        <v>143</v>
      </c>
      <c r="BK232" s="138">
        <f t="shared" si="39"/>
        <v>49966</v>
      </c>
      <c r="BL232" s="15" t="s">
        <v>206</v>
      </c>
      <c r="BM232" s="137" t="s">
        <v>1832</v>
      </c>
    </row>
    <row r="233" spans="2:65" s="1" customFormat="1" ht="44.25" customHeight="1">
      <c r="B233" s="126"/>
      <c r="C233" s="127" t="s">
        <v>465</v>
      </c>
      <c r="D233" s="127" t="s">
        <v>144</v>
      </c>
      <c r="E233" s="128" t="s">
        <v>1831</v>
      </c>
      <c r="F233" s="129" t="s">
        <v>1830</v>
      </c>
      <c r="G233" s="130" t="s">
        <v>1111</v>
      </c>
      <c r="H233" s="131">
        <v>5</v>
      </c>
      <c r="I233" s="132">
        <v>9820</v>
      </c>
      <c r="J233" s="132">
        <f t="shared" si="30"/>
        <v>49100</v>
      </c>
      <c r="K233" s="129" t="s">
        <v>148</v>
      </c>
      <c r="L233" s="27"/>
      <c r="M233" s="133" t="s">
        <v>1</v>
      </c>
      <c r="N233" s="134" t="s">
        <v>39</v>
      </c>
      <c r="O233" s="135">
        <v>3.32</v>
      </c>
      <c r="P233" s="135">
        <f t="shared" si="31"/>
        <v>16.599999999999998</v>
      </c>
      <c r="Q233" s="135">
        <v>2.945E-2</v>
      </c>
      <c r="R233" s="135">
        <f t="shared" si="32"/>
        <v>0.14724999999999999</v>
      </c>
      <c r="S233" s="135">
        <v>0</v>
      </c>
      <c r="T233" s="136">
        <f t="shared" si="33"/>
        <v>0</v>
      </c>
      <c r="AR233" s="137" t="s">
        <v>206</v>
      </c>
      <c r="AT233" s="137" t="s">
        <v>144</v>
      </c>
      <c r="AU233" s="137" t="s">
        <v>143</v>
      </c>
      <c r="AY233" s="15" t="s">
        <v>141</v>
      </c>
      <c r="BE233" s="138">
        <f t="shared" si="34"/>
        <v>0</v>
      </c>
      <c r="BF233" s="138">
        <f t="shared" si="35"/>
        <v>49100</v>
      </c>
      <c r="BG233" s="138">
        <f t="shared" si="36"/>
        <v>0</v>
      </c>
      <c r="BH233" s="138">
        <f t="shared" si="37"/>
        <v>0</v>
      </c>
      <c r="BI233" s="138">
        <f t="shared" si="38"/>
        <v>0</v>
      </c>
      <c r="BJ233" s="15" t="s">
        <v>143</v>
      </c>
      <c r="BK233" s="138">
        <f t="shared" si="39"/>
        <v>49100</v>
      </c>
      <c r="BL233" s="15" t="s">
        <v>206</v>
      </c>
      <c r="BM233" s="137" t="s">
        <v>1829</v>
      </c>
    </row>
    <row r="234" spans="2:65" s="1" customFormat="1" ht="24.2" customHeight="1">
      <c r="B234" s="126"/>
      <c r="C234" s="127" t="s">
        <v>469</v>
      </c>
      <c r="D234" s="127" t="s">
        <v>144</v>
      </c>
      <c r="E234" s="128" t="s">
        <v>1828</v>
      </c>
      <c r="F234" s="129" t="s">
        <v>1827</v>
      </c>
      <c r="G234" s="130" t="s">
        <v>1111</v>
      </c>
      <c r="H234" s="131">
        <v>3</v>
      </c>
      <c r="I234" s="132">
        <v>928</v>
      </c>
      <c r="J234" s="132">
        <f t="shared" si="30"/>
        <v>2784</v>
      </c>
      <c r="K234" s="129" t="s">
        <v>148</v>
      </c>
      <c r="L234" s="27"/>
      <c r="M234" s="133" t="s">
        <v>1</v>
      </c>
      <c r="N234" s="134" t="s">
        <v>39</v>
      </c>
      <c r="O234" s="135">
        <v>0.25</v>
      </c>
      <c r="P234" s="135">
        <f t="shared" si="31"/>
        <v>0.75</v>
      </c>
      <c r="Q234" s="135">
        <v>8.4999999999999995E-4</v>
      </c>
      <c r="R234" s="135">
        <f t="shared" si="32"/>
        <v>2.5499999999999997E-3</v>
      </c>
      <c r="S234" s="135">
        <v>0</v>
      </c>
      <c r="T234" s="136">
        <f t="shared" si="33"/>
        <v>0</v>
      </c>
      <c r="AR234" s="137" t="s">
        <v>206</v>
      </c>
      <c r="AT234" s="137" t="s">
        <v>144</v>
      </c>
      <c r="AU234" s="137" t="s">
        <v>143</v>
      </c>
      <c r="AY234" s="15" t="s">
        <v>141</v>
      </c>
      <c r="BE234" s="138">
        <f t="shared" si="34"/>
        <v>0</v>
      </c>
      <c r="BF234" s="138">
        <f t="shared" si="35"/>
        <v>2784</v>
      </c>
      <c r="BG234" s="138">
        <f t="shared" si="36"/>
        <v>0</v>
      </c>
      <c r="BH234" s="138">
        <f t="shared" si="37"/>
        <v>0</v>
      </c>
      <c r="BI234" s="138">
        <f t="shared" si="38"/>
        <v>0</v>
      </c>
      <c r="BJ234" s="15" t="s">
        <v>143</v>
      </c>
      <c r="BK234" s="138">
        <f t="shared" si="39"/>
        <v>2784</v>
      </c>
      <c r="BL234" s="15" t="s">
        <v>206</v>
      </c>
      <c r="BM234" s="137" t="s">
        <v>1826</v>
      </c>
    </row>
    <row r="235" spans="2:65" s="1" customFormat="1" ht="33" customHeight="1">
      <c r="B235" s="126"/>
      <c r="C235" s="127" t="s">
        <v>473</v>
      </c>
      <c r="D235" s="127" t="s">
        <v>144</v>
      </c>
      <c r="E235" s="128" t="s">
        <v>1825</v>
      </c>
      <c r="F235" s="129" t="s">
        <v>1824</v>
      </c>
      <c r="G235" s="130" t="s">
        <v>1111</v>
      </c>
      <c r="H235" s="131">
        <v>3</v>
      </c>
      <c r="I235" s="132">
        <v>1120</v>
      </c>
      <c r="J235" s="132">
        <f t="shared" si="30"/>
        <v>3360</v>
      </c>
      <c r="K235" s="129" t="s">
        <v>148</v>
      </c>
      <c r="L235" s="27"/>
      <c r="M235" s="133" t="s">
        <v>1</v>
      </c>
      <c r="N235" s="134" t="s">
        <v>39</v>
      </c>
      <c r="O235" s="135">
        <v>0.25</v>
      </c>
      <c r="P235" s="135">
        <f t="shared" si="31"/>
        <v>0.75</v>
      </c>
      <c r="Q235" s="135">
        <v>8.4999999999999995E-4</v>
      </c>
      <c r="R235" s="135">
        <f t="shared" si="32"/>
        <v>2.5499999999999997E-3</v>
      </c>
      <c r="S235" s="135">
        <v>0</v>
      </c>
      <c r="T235" s="136">
        <f t="shared" si="33"/>
        <v>0</v>
      </c>
      <c r="AR235" s="137" t="s">
        <v>206</v>
      </c>
      <c r="AT235" s="137" t="s">
        <v>144</v>
      </c>
      <c r="AU235" s="137" t="s">
        <v>143</v>
      </c>
      <c r="AY235" s="15" t="s">
        <v>141</v>
      </c>
      <c r="BE235" s="138">
        <f t="shared" si="34"/>
        <v>0</v>
      </c>
      <c r="BF235" s="138">
        <f t="shared" si="35"/>
        <v>3360</v>
      </c>
      <c r="BG235" s="138">
        <f t="shared" si="36"/>
        <v>0</v>
      </c>
      <c r="BH235" s="138">
        <f t="shared" si="37"/>
        <v>0</v>
      </c>
      <c r="BI235" s="138">
        <f t="shared" si="38"/>
        <v>0</v>
      </c>
      <c r="BJ235" s="15" t="s">
        <v>143</v>
      </c>
      <c r="BK235" s="138">
        <f t="shared" si="39"/>
        <v>3360</v>
      </c>
      <c r="BL235" s="15" t="s">
        <v>206</v>
      </c>
      <c r="BM235" s="137" t="s">
        <v>1823</v>
      </c>
    </row>
    <row r="236" spans="2:65" s="1" customFormat="1" ht="16.5" customHeight="1">
      <c r="B236" s="126"/>
      <c r="C236" s="127" t="s">
        <v>477</v>
      </c>
      <c r="D236" s="127" t="s">
        <v>144</v>
      </c>
      <c r="E236" s="128" t="s">
        <v>1822</v>
      </c>
      <c r="F236" s="129" t="s">
        <v>1821</v>
      </c>
      <c r="G236" s="130" t="s">
        <v>1111</v>
      </c>
      <c r="H236" s="131">
        <v>2</v>
      </c>
      <c r="I236" s="132">
        <v>1290</v>
      </c>
      <c r="J236" s="132">
        <f t="shared" si="30"/>
        <v>2580</v>
      </c>
      <c r="K236" s="129" t="s">
        <v>1</v>
      </c>
      <c r="L236" s="27"/>
      <c r="M236" s="133" t="s">
        <v>1</v>
      </c>
      <c r="N236" s="134" t="s">
        <v>39</v>
      </c>
      <c r="O236" s="135">
        <v>0.25</v>
      </c>
      <c r="P236" s="135">
        <f t="shared" si="31"/>
        <v>0.5</v>
      </c>
      <c r="Q236" s="135">
        <v>8.4999999999999995E-4</v>
      </c>
      <c r="R236" s="135">
        <f t="shared" si="32"/>
        <v>1.6999999999999999E-3</v>
      </c>
      <c r="S236" s="135">
        <v>0</v>
      </c>
      <c r="T236" s="136">
        <f t="shared" si="33"/>
        <v>0</v>
      </c>
      <c r="AR236" s="137" t="s">
        <v>206</v>
      </c>
      <c r="AT236" s="137" t="s">
        <v>144</v>
      </c>
      <c r="AU236" s="137" t="s">
        <v>143</v>
      </c>
      <c r="AY236" s="15" t="s">
        <v>141</v>
      </c>
      <c r="BE236" s="138">
        <f t="shared" si="34"/>
        <v>0</v>
      </c>
      <c r="BF236" s="138">
        <f t="shared" si="35"/>
        <v>2580</v>
      </c>
      <c r="BG236" s="138">
        <f t="shared" si="36"/>
        <v>0</v>
      </c>
      <c r="BH236" s="138">
        <f t="shared" si="37"/>
        <v>0</v>
      </c>
      <c r="BI236" s="138">
        <f t="shared" si="38"/>
        <v>0</v>
      </c>
      <c r="BJ236" s="15" t="s">
        <v>143</v>
      </c>
      <c r="BK236" s="138">
        <f t="shared" si="39"/>
        <v>2580</v>
      </c>
      <c r="BL236" s="15" t="s">
        <v>206</v>
      </c>
      <c r="BM236" s="137" t="s">
        <v>1820</v>
      </c>
    </row>
    <row r="237" spans="2:65" s="1" customFormat="1" ht="37.9" customHeight="1">
      <c r="B237" s="126"/>
      <c r="C237" s="127" t="s">
        <v>481</v>
      </c>
      <c r="D237" s="127" t="s">
        <v>144</v>
      </c>
      <c r="E237" s="128" t="s">
        <v>1819</v>
      </c>
      <c r="F237" s="129" t="s">
        <v>1818</v>
      </c>
      <c r="G237" s="130" t="s">
        <v>1111</v>
      </c>
      <c r="H237" s="131">
        <v>3</v>
      </c>
      <c r="I237" s="132">
        <v>2910</v>
      </c>
      <c r="J237" s="132">
        <f t="shared" si="30"/>
        <v>8730</v>
      </c>
      <c r="K237" s="129" t="s">
        <v>148</v>
      </c>
      <c r="L237" s="27"/>
      <c r="M237" s="133" t="s">
        <v>1</v>
      </c>
      <c r="N237" s="134" t="s">
        <v>39</v>
      </c>
      <c r="O237" s="135">
        <v>0.85</v>
      </c>
      <c r="P237" s="135">
        <f t="shared" si="31"/>
        <v>2.5499999999999998</v>
      </c>
      <c r="Q237" s="135">
        <v>4.9300000000000004E-3</v>
      </c>
      <c r="R237" s="135">
        <f t="shared" si="32"/>
        <v>1.4790000000000001E-2</v>
      </c>
      <c r="S237" s="135">
        <v>0</v>
      </c>
      <c r="T237" s="136">
        <f t="shared" si="33"/>
        <v>0</v>
      </c>
      <c r="AR237" s="137" t="s">
        <v>206</v>
      </c>
      <c r="AT237" s="137" t="s">
        <v>144</v>
      </c>
      <c r="AU237" s="137" t="s">
        <v>143</v>
      </c>
      <c r="AY237" s="15" t="s">
        <v>141</v>
      </c>
      <c r="BE237" s="138">
        <f t="shared" si="34"/>
        <v>0</v>
      </c>
      <c r="BF237" s="138">
        <f t="shared" si="35"/>
        <v>8730</v>
      </c>
      <c r="BG237" s="138">
        <f t="shared" si="36"/>
        <v>0</v>
      </c>
      <c r="BH237" s="138">
        <f t="shared" si="37"/>
        <v>0</v>
      </c>
      <c r="BI237" s="138">
        <f t="shared" si="38"/>
        <v>0</v>
      </c>
      <c r="BJ237" s="15" t="s">
        <v>143</v>
      </c>
      <c r="BK237" s="138">
        <f t="shared" si="39"/>
        <v>8730</v>
      </c>
      <c r="BL237" s="15" t="s">
        <v>206</v>
      </c>
      <c r="BM237" s="137" t="s">
        <v>1817</v>
      </c>
    </row>
    <row r="238" spans="2:65" s="1" customFormat="1" ht="33" customHeight="1">
      <c r="B238" s="126"/>
      <c r="C238" s="127" t="s">
        <v>485</v>
      </c>
      <c r="D238" s="127" t="s">
        <v>144</v>
      </c>
      <c r="E238" s="128" t="s">
        <v>1816</v>
      </c>
      <c r="F238" s="129" t="s">
        <v>1815</v>
      </c>
      <c r="G238" s="130" t="s">
        <v>1111</v>
      </c>
      <c r="H238" s="131">
        <v>2</v>
      </c>
      <c r="I238" s="132">
        <v>4920</v>
      </c>
      <c r="J238" s="132">
        <f t="shared" si="30"/>
        <v>9840</v>
      </c>
      <c r="K238" s="129" t="s">
        <v>148</v>
      </c>
      <c r="L238" s="27"/>
      <c r="M238" s="133" t="s">
        <v>1</v>
      </c>
      <c r="N238" s="134" t="s">
        <v>39</v>
      </c>
      <c r="O238" s="135">
        <v>0.85</v>
      </c>
      <c r="P238" s="135">
        <f t="shared" si="31"/>
        <v>1.7</v>
      </c>
      <c r="Q238" s="135">
        <v>9.8300000000000002E-3</v>
      </c>
      <c r="R238" s="135">
        <f t="shared" si="32"/>
        <v>1.966E-2</v>
      </c>
      <c r="S238" s="135">
        <v>0</v>
      </c>
      <c r="T238" s="136">
        <f t="shared" si="33"/>
        <v>0</v>
      </c>
      <c r="AR238" s="137" t="s">
        <v>206</v>
      </c>
      <c r="AT238" s="137" t="s">
        <v>144</v>
      </c>
      <c r="AU238" s="137" t="s">
        <v>143</v>
      </c>
      <c r="AY238" s="15" t="s">
        <v>141</v>
      </c>
      <c r="BE238" s="138">
        <f t="shared" si="34"/>
        <v>0</v>
      </c>
      <c r="BF238" s="138">
        <f t="shared" si="35"/>
        <v>9840</v>
      </c>
      <c r="BG238" s="138">
        <f t="shared" si="36"/>
        <v>0</v>
      </c>
      <c r="BH238" s="138">
        <f t="shared" si="37"/>
        <v>0</v>
      </c>
      <c r="BI238" s="138">
        <f t="shared" si="38"/>
        <v>0</v>
      </c>
      <c r="BJ238" s="15" t="s">
        <v>143</v>
      </c>
      <c r="BK238" s="138">
        <f t="shared" si="39"/>
        <v>9840</v>
      </c>
      <c r="BL238" s="15" t="s">
        <v>206</v>
      </c>
      <c r="BM238" s="137" t="s">
        <v>1814</v>
      </c>
    </row>
    <row r="239" spans="2:65" s="1" customFormat="1" ht="33" customHeight="1">
      <c r="B239" s="126"/>
      <c r="C239" s="127" t="s">
        <v>489</v>
      </c>
      <c r="D239" s="127" t="s">
        <v>144</v>
      </c>
      <c r="E239" s="128" t="s">
        <v>1813</v>
      </c>
      <c r="F239" s="129" t="s">
        <v>1812</v>
      </c>
      <c r="G239" s="130" t="s">
        <v>1111</v>
      </c>
      <c r="H239" s="131">
        <v>2</v>
      </c>
      <c r="I239" s="132">
        <v>6450</v>
      </c>
      <c r="J239" s="132">
        <f t="shared" si="30"/>
        <v>12900</v>
      </c>
      <c r="K239" s="129" t="s">
        <v>148</v>
      </c>
      <c r="L239" s="27"/>
      <c r="M239" s="133" t="s">
        <v>1</v>
      </c>
      <c r="N239" s="134" t="s">
        <v>39</v>
      </c>
      <c r="O239" s="135">
        <v>1.5</v>
      </c>
      <c r="P239" s="135">
        <f t="shared" si="31"/>
        <v>3</v>
      </c>
      <c r="Q239" s="135">
        <v>1.4749999999999999E-2</v>
      </c>
      <c r="R239" s="135">
        <f t="shared" si="32"/>
        <v>2.9499999999999998E-2</v>
      </c>
      <c r="S239" s="135">
        <v>0</v>
      </c>
      <c r="T239" s="136">
        <f t="shared" si="33"/>
        <v>0</v>
      </c>
      <c r="AR239" s="137" t="s">
        <v>206</v>
      </c>
      <c r="AT239" s="137" t="s">
        <v>144</v>
      </c>
      <c r="AU239" s="137" t="s">
        <v>143</v>
      </c>
      <c r="AY239" s="15" t="s">
        <v>141</v>
      </c>
      <c r="BE239" s="138">
        <f t="shared" si="34"/>
        <v>0</v>
      </c>
      <c r="BF239" s="138">
        <f t="shared" si="35"/>
        <v>12900</v>
      </c>
      <c r="BG239" s="138">
        <f t="shared" si="36"/>
        <v>0</v>
      </c>
      <c r="BH239" s="138">
        <f t="shared" si="37"/>
        <v>0</v>
      </c>
      <c r="BI239" s="138">
        <f t="shared" si="38"/>
        <v>0</v>
      </c>
      <c r="BJ239" s="15" t="s">
        <v>143</v>
      </c>
      <c r="BK239" s="138">
        <f t="shared" si="39"/>
        <v>12900</v>
      </c>
      <c r="BL239" s="15" t="s">
        <v>206</v>
      </c>
      <c r="BM239" s="137" t="s">
        <v>1811</v>
      </c>
    </row>
    <row r="240" spans="2:65" s="1" customFormat="1" ht="16.5" customHeight="1">
      <c r="B240" s="126"/>
      <c r="C240" s="127" t="s">
        <v>493</v>
      </c>
      <c r="D240" s="127" t="s">
        <v>144</v>
      </c>
      <c r="E240" s="128" t="s">
        <v>1810</v>
      </c>
      <c r="F240" s="129" t="s">
        <v>1809</v>
      </c>
      <c r="G240" s="130" t="s">
        <v>1111</v>
      </c>
      <c r="H240" s="131">
        <v>1</v>
      </c>
      <c r="I240" s="132">
        <v>1080</v>
      </c>
      <c r="J240" s="132">
        <f t="shared" si="30"/>
        <v>1080</v>
      </c>
      <c r="K240" s="129" t="s">
        <v>148</v>
      </c>
      <c r="L240" s="27"/>
      <c r="M240" s="133" t="s">
        <v>1</v>
      </c>
      <c r="N240" s="134" t="s">
        <v>39</v>
      </c>
      <c r="O240" s="135">
        <v>1.5</v>
      </c>
      <c r="P240" s="135">
        <f t="shared" si="31"/>
        <v>1.5</v>
      </c>
      <c r="Q240" s="135">
        <v>6.4000000000000005E-4</v>
      </c>
      <c r="R240" s="135">
        <f t="shared" si="32"/>
        <v>6.4000000000000005E-4</v>
      </c>
      <c r="S240" s="135">
        <v>0</v>
      </c>
      <c r="T240" s="136">
        <f t="shared" si="33"/>
        <v>0</v>
      </c>
      <c r="AR240" s="137" t="s">
        <v>206</v>
      </c>
      <c r="AT240" s="137" t="s">
        <v>144</v>
      </c>
      <c r="AU240" s="137" t="s">
        <v>143</v>
      </c>
      <c r="AY240" s="15" t="s">
        <v>141</v>
      </c>
      <c r="BE240" s="138">
        <f t="shared" si="34"/>
        <v>0</v>
      </c>
      <c r="BF240" s="138">
        <f t="shared" si="35"/>
        <v>1080</v>
      </c>
      <c r="BG240" s="138">
        <f t="shared" si="36"/>
        <v>0</v>
      </c>
      <c r="BH240" s="138">
        <f t="shared" si="37"/>
        <v>0</v>
      </c>
      <c r="BI240" s="138">
        <f t="shared" si="38"/>
        <v>0</v>
      </c>
      <c r="BJ240" s="15" t="s">
        <v>143</v>
      </c>
      <c r="BK240" s="138">
        <f t="shared" si="39"/>
        <v>1080</v>
      </c>
      <c r="BL240" s="15" t="s">
        <v>206</v>
      </c>
      <c r="BM240" s="137" t="s">
        <v>1808</v>
      </c>
    </row>
    <row r="241" spans="2:65" s="1" customFormat="1" ht="16.5" customHeight="1">
      <c r="B241" s="126"/>
      <c r="C241" s="139" t="s">
        <v>497</v>
      </c>
      <c r="D241" s="139" t="s">
        <v>207</v>
      </c>
      <c r="E241" s="140" t="s">
        <v>1807</v>
      </c>
      <c r="F241" s="141" t="s">
        <v>1806</v>
      </c>
      <c r="G241" s="142" t="s">
        <v>147</v>
      </c>
      <c r="H241" s="143">
        <v>1</v>
      </c>
      <c r="I241" s="144">
        <v>12800</v>
      </c>
      <c r="J241" s="144">
        <f t="shared" si="30"/>
        <v>12800</v>
      </c>
      <c r="K241" s="141" t="s">
        <v>148</v>
      </c>
      <c r="L241" s="145"/>
      <c r="M241" s="146" t="s">
        <v>1</v>
      </c>
      <c r="N241" s="147" t="s">
        <v>39</v>
      </c>
      <c r="O241" s="135">
        <v>0</v>
      </c>
      <c r="P241" s="135">
        <f t="shared" si="31"/>
        <v>0</v>
      </c>
      <c r="Q241" s="135">
        <v>9.7999999999999997E-3</v>
      </c>
      <c r="R241" s="135">
        <f t="shared" si="32"/>
        <v>9.7999999999999997E-3</v>
      </c>
      <c r="S241" s="135">
        <v>0</v>
      </c>
      <c r="T241" s="136">
        <f t="shared" si="33"/>
        <v>0</v>
      </c>
      <c r="AR241" s="137" t="s">
        <v>274</v>
      </c>
      <c r="AT241" s="137" t="s">
        <v>207</v>
      </c>
      <c r="AU241" s="137" t="s">
        <v>143</v>
      </c>
      <c r="AY241" s="15" t="s">
        <v>141</v>
      </c>
      <c r="BE241" s="138">
        <f t="shared" si="34"/>
        <v>0</v>
      </c>
      <c r="BF241" s="138">
        <f t="shared" si="35"/>
        <v>12800</v>
      </c>
      <c r="BG241" s="138">
        <f t="shared" si="36"/>
        <v>0</v>
      </c>
      <c r="BH241" s="138">
        <f t="shared" si="37"/>
        <v>0</v>
      </c>
      <c r="BI241" s="138">
        <f t="shared" si="38"/>
        <v>0</v>
      </c>
      <c r="BJ241" s="15" t="s">
        <v>143</v>
      </c>
      <c r="BK241" s="138">
        <f t="shared" si="39"/>
        <v>12800</v>
      </c>
      <c r="BL241" s="15" t="s">
        <v>206</v>
      </c>
      <c r="BM241" s="137" t="s">
        <v>1805</v>
      </c>
    </row>
    <row r="242" spans="2:65" s="1" customFormat="1" ht="24.2" customHeight="1">
      <c r="B242" s="126"/>
      <c r="C242" s="127" t="s">
        <v>501</v>
      </c>
      <c r="D242" s="127" t="s">
        <v>144</v>
      </c>
      <c r="E242" s="128" t="s">
        <v>1804</v>
      </c>
      <c r="F242" s="129" t="s">
        <v>1803</v>
      </c>
      <c r="G242" s="130" t="s">
        <v>1111</v>
      </c>
      <c r="H242" s="131">
        <v>8</v>
      </c>
      <c r="I242" s="132">
        <v>1460</v>
      </c>
      <c r="J242" s="132">
        <f t="shared" si="30"/>
        <v>11680</v>
      </c>
      <c r="K242" s="129" t="s">
        <v>148</v>
      </c>
      <c r="L242" s="27"/>
      <c r="M242" s="133" t="s">
        <v>1</v>
      </c>
      <c r="N242" s="134" t="s">
        <v>39</v>
      </c>
      <c r="O242" s="135">
        <v>0.2</v>
      </c>
      <c r="P242" s="135">
        <f t="shared" si="31"/>
        <v>1.6</v>
      </c>
      <c r="Q242" s="135">
        <v>1.9599999999999999E-3</v>
      </c>
      <c r="R242" s="135">
        <f t="shared" si="32"/>
        <v>1.5679999999999999E-2</v>
      </c>
      <c r="S242" s="135">
        <v>0</v>
      </c>
      <c r="T242" s="136">
        <f t="shared" si="33"/>
        <v>0</v>
      </c>
      <c r="AR242" s="137" t="s">
        <v>206</v>
      </c>
      <c r="AT242" s="137" t="s">
        <v>144</v>
      </c>
      <c r="AU242" s="137" t="s">
        <v>143</v>
      </c>
      <c r="AY242" s="15" t="s">
        <v>141</v>
      </c>
      <c r="BE242" s="138">
        <f t="shared" si="34"/>
        <v>0</v>
      </c>
      <c r="BF242" s="138">
        <f t="shared" si="35"/>
        <v>11680</v>
      </c>
      <c r="BG242" s="138">
        <f t="shared" si="36"/>
        <v>0</v>
      </c>
      <c r="BH242" s="138">
        <f t="shared" si="37"/>
        <v>0</v>
      </c>
      <c r="BI242" s="138">
        <f t="shared" si="38"/>
        <v>0</v>
      </c>
      <c r="BJ242" s="15" t="s">
        <v>143</v>
      </c>
      <c r="BK242" s="138">
        <f t="shared" si="39"/>
        <v>11680</v>
      </c>
      <c r="BL242" s="15" t="s">
        <v>206</v>
      </c>
      <c r="BM242" s="137" t="s">
        <v>1802</v>
      </c>
    </row>
    <row r="243" spans="2:65" s="1" customFormat="1" ht="16.5" customHeight="1">
      <c r="B243" s="126"/>
      <c r="C243" s="127" t="s">
        <v>512</v>
      </c>
      <c r="D243" s="127" t="s">
        <v>144</v>
      </c>
      <c r="E243" s="128" t="s">
        <v>1801</v>
      </c>
      <c r="F243" s="129" t="s">
        <v>1800</v>
      </c>
      <c r="G243" s="130" t="s">
        <v>1111</v>
      </c>
      <c r="H243" s="131">
        <v>13</v>
      </c>
      <c r="I243" s="132">
        <v>2250</v>
      </c>
      <c r="J243" s="132">
        <f t="shared" si="30"/>
        <v>29250</v>
      </c>
      <c r="K243" s="129" t="s">
        <v>148</v>
      </c>
      <c r="L243" s="27"/>
      <c r="M243" s="133" t="s">
        <v>1</v>
      </c>
      <c r="N243" s="134" t="s">
        <v>39</v>
      </c>
      <c r="O243" s="135">
        <v>0.2</v>
      </c>
      <c r="P243" s="135">
        <f t="shared" si="31"/>
        <v>2.6</v>
      </c>
      <c r="Q243" s="135">
        <v>1.8400000000000001E-3</v>
      </c>
      <c r="R243" s="135">
        <f t="shared" si="32"/>
        <v>2.392E-2</v>
      </c>
      <c r="S243" s="135">
        <v>0</v>
      </c>
      <c r="T243" s="136">
        <f t="shared" si="33"/>
        <v>0</v>
      </c>
      <c r="AR243" s="137" t="s">
        <v>206</v>
      </c>
      <c r="AT243" s="137" t="s">
        <v>144</v>
      </c>
      <c r="AU243" s="137" t="s">
        <v>143</v>
      </c>
      <c r="AY243" s="15" t="s">
        <v>141</v>
      </c>
      <c r="BE243" s="138">
        <f t="shared" si="34"/>
        <v>0</v>
      </c>
      <c r="BF243" s="138">
        <f t="shared" si="35"/>
        <v>29250</v>
      </c>
      <c r="BG243" s="138">
        <f t="shared" si="36"/>
        <v>0</v>
      </c>
      <c r="BH243" s="138">
        <f t="shared" si="37"/>
        <v>0</v>
      </c>
      <c r="BI243" s="138">
        <f t="shared" si="38"/>
        <v>0</v>
      </c>
      <c r="BJ243" s="15" t="s">
        <v>143</v>
      </c>
      <c r="BK243" s="138">
        <f t="shared" si="39"/>
        <v>29250</v>
      </c>
      <c r="BL243" s="15" t="s">
        <v>206</v>
      </c>
      <c r="BM243" s="137" t="s">
        <v>1799</v>
      </c>
    </row>
    <row r="244" spans="2:65" s="1" customFormat="1" ht="24.2" customHeight="1">
      <c r="B244" s="126"/>
      <c r="C244" s="127" t="s">
        <v>520</v>
      </c>
      <c r="D244" s="127" t="s">
        <v>144</v>
      </c>
      <c r="E244" s="128" t="s">
        <v>1798</v>
      </c>
      <c r="F244" s="129" t="s">
        <v>1797</v>
      </c>
      <c r="G244" s="130" t="s">
        <v>1111</v>
      </c>
      <c r="H244" s="131">
        <v>2</v>
      </c>
      <c r="I244" s="132">
        <v>5470</v>
      </c>
      <c r="J244" s="132">
        <f t="shared" si="30"/>
        <v>10940</v>
      </c>
      <c r="K244" s="129" t="s">
        <v>148</v>
      </c>
      <c r="L244" s="27"/>
      <c r="M244" s="133" t="s">
        <v>1</v>
      </c>
      <c r="N244" s="134" t="s">
        <v>39</v>
      </c>
      <c r="O244" s="135">
        <v>0.4</v>
      </c>
      <c r="P244" s="135">
        <f t="shared" si="31"/>
        <v>0.8</v>
      </c>
      <c r="Q244" s="135">
        <v>2.3600000000000001E-3</v>
      </c>
      <c r="R244" s="135">
        <f t="shared" si="32"/>
        <v>4.7200000000000002E-3</v>
      </c>
      <c r="S244" s="135">
        <v>0</v>
      </c>
      <c r="T244" s="136">
        <f t="shared" si="33"/>
        <v>0</v>
      </c>
      <c r="AR244" s="137" t="s">
        <v>206</v>
      </c>
      <c r="AT244" s="137" t="s">
        <v>144</v>
      </c>
      <c r="AU244" s="137" t="s">
        <v>143</v>
      </c>
      <c r="AY244" s="15" t="s">
        <v>141</v>
      </c>
      <c r="BE244" s="138">
        <f t="shared" si="34"/>
        <v>0</v>
      </c>
      <c r="BF244" s="138">
        <f t="shared" si="35"/>
        <v>10940</v>
      </c>
      <c r="BG244" s="138">
        <f t="shared" si="36"/>
        <v>0</v>
      </c>
      <c r="BH244" s="138">
        <f t="shared" si="37"/>
        <v>0</v>
      </c>
      <c r="BI244" s="138">
        <f t="shared" si="38"/>
        <v>0</v>
      </c>
      <c r="BJ244" s="15" t="s">
        <v>143</v>
      </c>
      <c r="BK244" s="138">
        <f t="shared" si="39"/>
        <v>10940</v>
      </c>
      <c r="BL244" s="15" t="s">
        <v>206</v>
      </c>
      <c r="BM244" s="137" t="s">
        <v>1796</v>
      </c>
    </row>
    <row r="245" spans="2:65" s="1" customFormat="1" ht="24.2" customHeight="1">
      <c r="B245" s="126"/>
      <c r="C245" s="127" t="s">
        <v>524</v>
      </c>
      <c r="D245" s="127" t="s">
        <v>144</v>
      </c>
      <c r="E245" s="128" t="s">
        <v>1795</v>
      </c>
      <c r="F245" s="129" t="s">
        <v>1794</v>
      </c>
      <c r="G245" s="130" t="s">
        <v>1111</v>
      </c>
      <c r="H245" s="131">
        <v>5</v>
      </c>
      <c r="I245" s="132">
        <v>3670</v>
      </c>
      <c r="J245" s="132">
        <f t="shared" si="30"/>
        <v>18350</v>
      </c>
      <c r="K245" s="129" t="s">
        <v>148</v>
      </c>
      <c r="L245" s="27"/>
      <c r="M245" s="133" t="s">
        <v>1</v>
      </c>
      <c r="N245" s="134" t="s">
        <v>39</v>
      </c>
      <c r="O245" s="135">
        <v>0.5</v>
      </c>
      <c r="P245" s="135">
        <f t="shared" si="31"/>
        <v>2.5</v>
      </c>
      <c r="Q245" s="135">
        <v>1.8400000000000001E-3</v>
      </c>
      <c r="R245" s="135">
        <f t="shared" si="32"/>
        <v>9.1999999999999998E-3</v>
      </c>
      <c r="S245" s="135">
        <v>0</v>
      </c>
      <c r="T245" s="136">
        <f t="shared" si="33"/>
        <v>0</v>
      </c>
      <c r="AR245" s="137" t="s">
        <v>206</v>
      </c>
      <c r="AT245" s="137" t="s">
        <v>144</v>
      </c>
      <c r="AU245" s="137" t="s">
        <v>143</v>
      </c>
      <c r="AY245" s="15" t="s">
        <v>141</v>
      </c>
      <c r="BE245" s="138">
        <f t="shared" si="34"/>
        <v>0</v>
      </c>
      <c r="BF245" s="138">
        <f t="shared" si="35"/>
        <v>18350</v>
      </c>
      <c r="BG245" s="138">
        <f t="shared" si="36"/>
        <v>0</v>
      </c>
      <c r="BH245" s="138">
        <f t="shared" si="37"/>
        <v>0</v>
      </c>
      <c r="BI245" s="138">
        <f t="shared" si="38"/>
        <v>0</v>
      </c>
      <c r="BJ245" s="15" t="s">
        <v>143</v>
      </c>
      <c r="BK245" s="138">
        <f t="shared" si="39"/>
        <v>18350</v>
      </c>
      <c r="BL245" s="15" t="s">
        <v>206</v>
      </c>
      <c r="BM245" s="137" t="s">
        <v>1793</v>
      </c>
    </row>
    <row r="246" spans="2:65" s="1" customFormat="1" ht="24.2" customHeight="1">
      <c r="B246" s="126"/>
      <c r="C246" s="127" t="s">
        <v>529</v>
      </c>
      <c r="D246" s="127" t="s">
        <v>144</v>
      </c>
      <c r="E246" s="128" t="s">
        <v>1792</v>
      </c>
      <c r="F246" s="129" t="s">
        <v>1791</v>
      </c>
      <c r="G246" s="130" t="s">
        <v>147</v>
      </c>
      <c r="H246" s="131">
        <v>13</v>
      </c>
      <c r="I246" s="132">
        <v>321</v>
      </c>
      <c r="J246" s="132">
        <f t="shared" si="30"/>
        <v>4173</v>
      </c>
      <c r="K246" s="129" t="s">
        <v>148</v>
      </c>
      <c r="L246" s="27"/>
      <c r="M246" s="133" t="s">
        <v>1</v>
      </c>
      <c r="N246" s="134" t="s">
        <v>39</v>
      </c>
      <c r="O246" s="135">
        <v>0.113</v>
      </c>
      <c r="P246" s="135">
        <f t="shared" si="31"/>
        <v>1.4690000000000001</v>
      </c>
      <c r="Q246" s="135">
        <v>2.4000000000000001E-4</v>
      </c>
      <c r="R246" s="135">
        <f t="shared" si="32"/>
        <v>3.1199999999999999E-3</v>
      </c>
      <c r="S246" s="135">
        <v>0</v>
      </c>
      <c r="T246" s="136">
        <f t="shared" si="33"/>
        <v>0</v>
      </c>
      <c r="AR246" s="137" t="s">
        <v>206</v>
      </c>
      <c r="AT246" s="137" t="s">
        <v>144</v>
      </c>
      <c r="AU246" s="137" t="s">
        <v>143</v>
      </c>
      <c r="AY246" s="15" t="s">
        <v>141</v>
      </c>
      <c r="BE246" s="138">
        <f t="shared" si="34"/>
        <v>0</v>
      </c>
      <c r="BF246" s="138">
        <f t="shared" si="35"/>
        <v>4173</v>
      </c>
      <c r="BG246" s="138">
        <f t="shared" si="36"/>
        <v>0</v>
      </c>
      <c r="BH246" s="138">
        <f t="shared" si="37"/>
        <v>0</v>
      </c>
      <c r="BI246" s="138">
        <f t="shared" si="38"/>
        <v>0</v>
      </c>
      <c r="BJ246" s="15" t="s">
        <v>143</v>
      </c>
      <c r="BK246" s="138">
        <f t="shared" si="39"/>
        <v>4173</v>
      </c>
      <c r="BL246" s="15" t="s">
        <v>206</v>
      </c>
      <c r="BM246" s="137" t="s">
        <v>1790</v>
      </c>
    </row>
    <row r="247" spans="2:65" s="1" customFormat="1" ht="33" customHeight="1">
      <c r="B247" s="126"/>
      <c r="C247" s="127" t="s">
        <v>533</v>
      </c>
      <c r="D247" s="127" t="s">
        <v>144</v>
      </c>
      <c r="E247" s="128" t="s">
        <v>1789</v>
      </c>
      <c r="F247" s="129" t="s">
        <v>1788</v>
      </c>
      <c r="G247" s="130" t="s">
        <v>147</v>
      </c>
      <c r="H247" s="131">
        <v>3</v>
      </c>
      <c r="I247" s="132">
        <v>639</v>
      </c>
      <c r="J247" s="132">
        <f t="shared" si="30"/>
        <v>1917</v>
      </c>
      <c r="K247" s="129" t="s">
        <v>148</v>
      </c>
      <c r="L247" s="27"/>
      <c r="M247" s="133" t="s">
        <v>1</v>
      </c>
      <c r="N247" s="134" t="s">
        <v>39</v>
      </c>
      <c r="O247" s="135">
        <v>0.113</v>
      </c>
      <c r="P247" s="135">
        <f t="shared" si="31"/>
        <v>0.33900000000000002</v>
      </c>
      <c r="Q247" s="135">
        <v>4.6999999999999999E-4</v>
      </c>
      <c r="R247" s="135">
        <f t="shared" si="32"/>
        <v>1.41E-3</v>
      </c>
      <c r="S247" s="135">
        <v>0</v>
      </c>
      <c r="T247" s="136">
        <f t="shared" si="33"/>
        <v>0</v>
      </c>
      <c r="AR247" s="137" t="s">
        <v>206</v>
      </c>
      <c r="AT247" s="137" t="s">
        <v>144</v>
      </c>
      <c r="AU247" s="137" t="s">
        <v>143</v>
      </c>
      <c r="AY247" s="15" t="s">
        <v>141</v>
      </c>
      <c r="BE247" s="138">
        <f t="shared" si="34"/>
        <v>0</v>
      </c>
      <c r="BF247" s="138">
        <f t="shared" si="35"/>
        <v>1917</v>
      </c>
      <c r="BG247" s="138">
        <f t="shared" si="36"/>
        <v>0</v>
      </c>
      <c r="BH247" s="138">
        <f t="shared" si="37"/>
        <v>0</v>
      </c>
      <c r="BI247" s="138">
        <f t="shared" si="38"/>
        <v>0</v>
      </c>
      <c r="BJ247" s="15" t="s">
        <v>143</v>
      </c>
      <c r="BK247" s="138">
        <f t="shared" si="39"/>
        <v>1917</v>
      </c>
      <c r="BL247" s="15" t="s">
        <v>206</v>
      </c>
      <c r="BM247" s="137" t="s">
        <v>1787</v>
      </c>
    </row>
    <row r="248" spans="2:65" s="1" customFormat="1" ht="33" customHeight="1">
      <c r="B248" s="126"/>
      <c r="C248" s="127" t="s">
        <v>536</v>
      </c>
      <c r="D248" s="127" t="s">
        <v>144</v>
      </c>
      <c r="E248" s="128" t="s">
        <v>1786</v>
      </c>
      <c r="F248" s="129" t="s">
        <v>1785</v>
      </c>
      <c r="G248" s="130" t="s">
        <v>147</v>
      </c>
      <c r="H248" s="131">
        <v>2</v>
      </c>
      <c r="I248" s="132">
        <v>964</v>
      </c>
      <c r="J248" s="132">
        <f t="shared" si="30"/>
        <v>1928</v>
      </c>
      <c r="K248" s="129" t="s">
        <v>148</v>
      </c>
      <c r="L248" s="27"/>
      <c r="M248" s="133" t="s">
        <v>1</v>
      </c>
      <c r="N248" s="134" t="s">
        <v>39</v>
      </c>
      <c r="O248" s="135">
        <v>0.113</v>
      </c>
      <c r="P248" s="135">
        <f t="shared" si="31"/>
        <v>0.22600000000000001</v>
      </c>
      <c r="Q248" s="135">
        <v>6.6E-4</v>
      </c>
      <c r="R248" s="135">
        <f t="shared" si="32"/>
        <v>1.32E-3</v>
      </c>
      <c r="S248" s="135">
        <v>0</v>
      </c>
      <c r="T248" s="136">
        <f t="shared" si="33"/>
        <v>0</v>
      </c>
      <c r="AR248" s="137" t="s">
        <v>206</v>
      </c>
      <c r="AT248" s="137" t="s">
        <v>144</v>
      </c>
      <c r="AU248" s="137" t="s">
        <v>143</v>
      </c>
      <c r="AY248" s="15" t="s">
        <v>141</v>
      </c>
      <c r="BE248" s="138">
        <f t="shared" si="34"/>
        <v>0</v>
      </c>
      <c r="BF248" s="138">
        <f t="shared" si="35"/>
        <v>1928</v>
      </c>
      <c r="BG248" s="138">
        <f t="shared" si="36"/>
        <v>0</v>
      </c>
      <c r="BH248" s="138">
        <f t="shared" si="37"/>
        <v>0</v>
      </c>
      <c r="BI248" s="138">
        <f t="shared" si="38"/>
        <v>0</v>
      </c>
      <c r="BJ248" s="15" t="s">
        <v>143</v>
      </c>
      <c r="BK248" s="138">
        <f t="shared" si="39"/>
        <v>1928</v>
      </c>
      <c r="BL248" s="15" t="s">
        <v>206</v>
      </c>
      <c r="BM248" s="137" t="s">
        <v>1784</v>
      </c>
    </row>
    <row r="249" spans="2:65" s="1" customFormat="1" ht="33" customHeight="1">
      <c r="B249" s="126"/>
      <c r="C249" s="127" t="s">
        <v>540</v>
      </c>
      <c r="D249" s="127" t="s">
        <v>144</v>
      </c>
      <c r="E249" s="128" t="s">
        <v>1783</v>
      </c>
      <c r="F249" s="129" t="s">
        <v>1782</v>
      </c>
      <c r="G249" s="130" t="s">
        <v>147</v>
      </c>
      <c r="H249" s="131">
        <v>2</v>
      </c>
      <c r="I249" s="132">
        <v>580</v>
      </c>
      <c r="J249" s="132">
        <f t="shared" si="30"/>
        <v>1160</v>
      </c>
      <c r="K249" s="129" t="s">
        <v>148</v>
      </c>
      <c r="L249" s="27"/>
      <c r="M249" s="133" t="s">
        <v>1</v>
      </c>
      <c r="N249" s="134" t="s">
        <v>39</v>
      </c>
      <c r="O249" s="135">
        <v>0.33900000000000002</v>
      </c>
      <c r="P249" s="135">
        <f t="shared" si="31"/>
        <v>0.67800000000000005</v>
      </c>
      <c r="Q249" s="135">
        <v>1.01E-3</v>
      </c>
      <c r="R249" s="135">
        <f t="shared" si="32"/>
        <v>2.0200000000000001E-3</v>
      </c>
      <c r="S249" s="135">
        <v>0</v>
      </c>
      <c r="T249" s="136">
        <f t="shared" si="33"/>
        <v>0</v>
      </c>
      <c r="AR249" s="137" t="s">
        <v>206</v>
      </c>
      <c r="AT249" s="137" t="s">
        <v>144</v>
      </c>
      <c r="AU249" s="137" t="s">
        <v>143</v>
      </c>
      <c r="AY249" s="15" t="s">
        <v>141</v>
      </c>
      <c r="BE249" s="138">
        <f t="shared" si="34"/>
        <v>0</v>
      </c>
      <c r="BF249" s="138">
        <f t="shared" si="35"/>
        <v>1160</v>
      </c>
      <c r="BG249" s="138">
        <f t="shared" si="36"/>
        <v>0</v>
      </c>
      <c r="BH249" s="138">
        <f t="shared" si="37"/>
        <v>0</v>
      </c>
      <c r="BI249" s="138">
        <f t="shared" si="38"/>
        <v>0</v>
      </c>
      <c r="BJ249" s="15" t="s">
        <v>143</v>
      </c>
      <c r="BK249" s="138">
        <f t="shared" si="39"/>
        <v>1160</v>
      </c>
      <c r="BL249" s="15" t="s">
        <v>206</v>
      </c>
      <c r="BM249" s="137" t="s">
        <v>1781</v>
      </c>
    </row>
    <row r="250" spans="2:65" s="1" customFormat="1" ht="16.5" customHeight="1">
      <c r="B250" s="126"/>
      <c r="C250" s="127" t="s">
        <v>545</v>
      </c>
      <c r="D250" s="127" t="s">
        <v>144</v>
      </c>
      <c r="E250" s="128" t="s">
        <v>1780</v>
      </c>
      <c r="F250" s="129" t="s">
        <v>1779</v>
      </c>
      <c r="G250" s="130" t="s">
        <v>147</v>
      </c>
      <c r="H250" s="131">
        <v>5</v>
      </c>
      <c r="I250" s="132">
        <v>689</v>
      </c>
      <c r="J250" s="132">
        <f t="shared" si="30"/>
        <v>3445</v>
      </c>
      <c r="K250" s="129" t="s">
        <v>148</v>
      </c>
      <c r="L250" s="27"/>
      <c r="M250" s="133" t="s">
        <v>1</v>
      </c>
      <c r="N250" s="134" t="s">
        <v>39</v>
      </c>
      <c r="O250" s="135">
        <v>0.95</v>
      </c>
      <c r="P250" s="135">
        <f t="shared" si="31"/>
        <v>4.75</v>
      </c>
      <c r="Q250" s="135">
        <v>3.1E-4</v>
      </c>
      <c r="R250" s="135">
        <f t="shared" si="32"/>
        <v>1.5499999999999999E-3</v>
      </c>
      <c r="S250" s="135">
        <v>0</v>
      </c>
      <c r="T250" s="136">
        <f t="shared" si="33"/>
        <v>0</v>
      </c>
      <c r="AR250" s="137" t="s">
        <v>206</v>
      </c>
      <c r="AT250" s="137" t="s">
        <v>144</v>
      </c>
      <c r="AU250" s="137" t="s">
        <v>143</v>
      </c>
      <c r="AY250" s="15" t="s">
        <v>141</v>
      </c>
      <c r="BE250" s="138">
        <f t="shared" si="34"/>
        <v>0</v>
      </c>
      <c r="BF250" s="138">
        <f t="shared" si="35"/>
        <v>3445</v>
      </c>
      <c r="BG250" s="138">
        <f t="shared" si="36"/>
        <v>0</v>
      </c>
      <c r="BH250" s="138">
        <f t="shared" si="37"/>
        <v>0</v>
      </c>
      <c r="BI250" s="138">
        <f t="shared" si="38"/>
        <v>0</v>
      </c>
      <c r="BJ250" s="15" t="s">
        <v>143</v>
      </c>
      <c r="BK250" s="138">
        <f t="shared" si="39"/>
        <v>3445</v>
      </c>
      <c r="BL250" s="15" t="s">
        <v>206</v>
      </c>
      <c r="BM250" s="137" t="s">
        <v>1778</v>
      </c>
    </row>
    <row r="251" spans="2:65" s="1" customFormat="1" ht="44.25" customHeight="1">
      <c r="B251" s="126"/>
      <c r="C251" s="127" t="s">
        <v>549</v>
      </c>
      <c r="D251" s="127" t="s">
        <v>144</v>
      </c>
      <c r="E251" s="128" t="s">
        <v>1777</v>
      </c>
      <c r="F251" s="129" t="s">
        <v>1776</v>
      </c>
      <c r="G251" s="130" t="s">
        <v>179</v>
      </c>
      <c r="H251" s="131">
        <v>0.76400000000000001</v>
      </c>
      <c r="I251" s="132">
        <v>765</v>
      </c>
      <c r="J251" s="132">
        <f t="shared" si="30"/>
        <v>584.46</v>
      </c>
      <c r="K251" s="129" t="s">
        <v>148</v>
      </c>
      <c r="L251" s="27"/>
      <c r="M251" s="133" t="s">
        <v>1</v>
      </c>
      <c r="N251" s="134" t="s">
        <v>39</v>
      </c>
      <c r="O251" s="135">
        <v>1.5169999999999999</v>
      </c>
      <c r="P251" s="135">
        <f t="shared" si="31"/>
        <v>1.1589879999999999</v>
      </c>
      <c r="Q251" s="135">
        <v>0</v>
      </c>
      <c r="R251" s="135">
        <f t="shared" si="32"/>
        <v>0</v>
      </c>
      <c r="S251" s="135">
        <v>0</v>
      </c>
      <c r="T251" s="136">
        <f t="shared" si="33"/>
        <v>0</v>
      </c>
      <c r="AR251" s="137" t="s">
        <v>206</v>
      </c>
      <c r="AT251" s="137" t="s">
        <v>144</v>
      </c>
      <c r="AU251" s="137" t="s">
        <v>143</v>
      </c>
      <c r="AY251" s="15" t="s">
        <v>141</v>
      </c>
      <c r="BE251" s="138">
        <f t="shared" si="34"/>
        <v>0</v>
      </c>
      <c r="BF251" s="138">
        <f t="shared" si="35"/>
        <v>584.46</v>
      </c>
      <c r="BG251" s="138">
        <f t="shared" si="36"/>
        <v>0</v>
      </c>
      <c r="BH251" s="138">
        <f t="shared" si="37"/>
        <v>0</v>
      </c>
      <c r="BI251" s="138">
        <f t="shared" si="38"/>
        <v>0</v>
      </c>
      <c r="BJ251" s="15" t="s">
        <v>143</v>
      </c>
      <c r="BK251" s="138">
        <f t="shared" si="39"/>
        <v>584.46</v>
      </c>
      <c r="BL251" s="15" t="s">
        <v>206</v>
      </c>
      <c r="BM251" s="137" t="s">
        <v>1775</v>
      </c>
    </row>
    <row r="252" spans="2:65" s="11" customFormat="1" ht="22.9" customHeight="1">
      <c r="B252" s="115"/>
      <c r="D252" s="116" t="s">
        <v>72</v>
      </c>
      <c r="E252" s="124" t="s">
        <v>1774</v>
      </c>
      <c r="F252" s="124" t="s">
        <v>1773</v>
      </c>
      <c r="J252" s="125">
        <f>BK252</f>
        <v>64551.56</v>
      </c>
      <c r="L252" s="115"/>
      <c r="M252" s="119"/>
      <c r="P252" s="120">
        <f>SUM(P253:P256)</f>
        <v>15.631978999999999</v>
      </c>
      <c r="R252" s="120">
        <f>SUM(R253:R256)</f>
        <v>8.6500000000000007E-2</v>
      </c>
      <c r="T252" s="121">
        <f>SUM(T253:T256)</f>
        <v>0</v>
      </c>
      <c r="AR252" s="116" t="s">
        <v>143</v>
      </c>
      <c r="AT252" s="122" t="s">
        <v>72</v>
      </c>
      <c r="AU252" s="122" t="s">
        <v>81</v>
      </c>
      <c r="AY252" s="116" t="s">
        <v>141</v>
      </c>
      <c r="BK252" s="123">
        <f>SUM(BK253:BK256)</f>
        <v>64551.56</v>
      </c>
    </row>
    <row r="253" spans="2:65" s="1" customFormat="1" ht="37.9" customHeight="1">
      <c r="B253" s="126"/>
      <c r="C253" s="127" t="s">
        <v>554</v>
      </c>
      <c r="D253" s="127" t="s">
        <v>144</v>
      </c>
      <c r="E253" s="128" t="s">
        <v>1772</v>
      </c>
      <c r="F253" s="129" t="s">
        <v>1771</v>
      </c>
      <c r="G253" s="130" t="s">
        <v>1111</v>
      </c>
      <c r="H253" s="131">
        <v>5</v>
      </c>
      <c r="I253" s="132">
        <v>11700</v>
      </c>
      <c r="J253" s="132">
        <f>ROUND(I253*H253,2)</f>
        <v>58500</v>
      </c>
      <c r="K253" s="129" t="s">
        <v>148</v>
      </c>
      <c r="L253" s="27"/>
      <c r="M253" s="133" t="s">
        <v>1</v>
      </c>
      <c r="N253" s="134" t="s">
        <v>39</v>
      </c>
      <c r="O253" s="135">
        <v>2.5</v>
      </c>
      <c r="P253" s="135">
        <f>O253*H253</f>
        <v>12.5</v>
      </c>
      <c r="Q253" s="135">
        <v>1.6650000000000002E-2</v>
      </c>
      <c r="R253" s="135">
        <f>Q253*H253</f>
        <v>8.3250000000000005E-2</v>
      </c>
      <c r="S253" s="135">
        <v>0</v>
      </c>
      <c r="T253" s="136">
        <f>S253*H253</f>
        <v>0</v>
      </c>
      <c r="AR253" s="137" t="s">
        <v>206</v>
      </c>
      <c r="AT253" s="137" t="s">
        <v>144</v>
      </c>
      <c r="AU253" s="137" t="s">
        <v>143</v>
      </c>
      <c r="AY253" s="15" t="s">
        <v>141</v>
      </c>
      <c r="BE253" s="138">
        <f>IF(N253="základní",J253,0)</f>
        <v>0</v>
      </c>
      <c r="BF253" s="138">
        <f>IF(N253="snížená",J253,0)</f>
        <v>58500</v>
      </c>
      <c r="BG253" s="138">
        <f>IF(N253="zákl. přenesená",J253,0)</f>
        <v>0</v>
      </c>
      <c r="BH253" s="138">
        <f>IF(N253="sníž. přenesená",J253,0)</f>
        <v>0</v>
      </c>
      <c r="BI253" s="138">
        <f>IF(N253="nulová",J253,0)</f>
        <v>0</v>
      </c>
      <c r="BJ253" s="15" t="s">
        <v>143</v>
      </c>
      <c r="BK253" s="138">
        <f>ROUND(I253*H253,2)</f>
        <v>58500</v>
      </c>
      <c r="BL253" s="15" t="s">
        <v>206</v>
      </c>
      <c r="BM253" s="137" t="s">
        <v>1770</v>
      </c>
    </row>
    <row r="254" spans="2:65" s="1" customFormat="1" ht="24.2" customHeight="1">
      <c r="B254" s="126"/>
      <c r="C254" s="127" t="s">
        <v>558</v>
      </c>
      <c r="D254" s="127" t="s">
        <v>144</v>
      </c>
      <c r="E254" s="128" t="s">
        <v>1769</v>
      </c>
      <c r="F254" s="129" t="s">
        <v>1768</v>
      </c>
      <c r="G254" s="130" t="s">
        <v>1111</v>
      </c>
      <c r="H254" s="131">
        <v>5</v>
      </c>
      <c r="I254" s="132">
        <v>278</v>
      </c>
      <c r="J254" s="132">
        <f>ROUND(I254*H254,2)</f>
        <v>1390</v>
      </c>
      <c r="K254" s="129" t="s">
        <v>148</v>
      </c>
      <c r="L254" s="27"/>
      <c r="M254" s="133" t="s">
        <v>1</v>
      </c>
      <c r="N254" s="134" t="s">
        <v>39</v>
      </c>
      <c r="O254" s="135">
        <v>0.1</v>
      </c>
      <c r="P254" s="135">
        <f>O254*H254</f>
        <v>0.5</v>
      </c>
      <c r="Q254" s="135">
        <v>1.4999999999999999E-4</v>
      </c>
      <c r="R254" s="135">
        <f>Q254*H254</f>
        <v>7.4999999999999991E-4</v>
      </c>
      <c r="S254" s="135">
        <v>0</v>
      </c>
      <c r="T254" s="136">
        <f>S254*H254</f>
        <v>0</v>
      </c>
      <c r="AR254" s="137" t="s">
        <v>206</v>
      </c>
      <c r="AT254" s="137" t="s">
        <v>144</v>
      </c>
      <c r="AU254" s="137" t="s">
        <v>143</v>
      </c>
      <c r="AY254" s="15" t="s">
        <v>141</v>
      </c>
      <c r="BE254" s="138">
        <f>IF(N254="základní",J254,0)</f>
        <v>0</v>
      </c>
      <c r="BF254" s="138">
        <f>IF(N254="snížená",J254,0)</f>
        <v>1390</v>
      </c>
      <c r="BG254" s="138">
        <f>IF(N254="zákl. přenesená",J254,0)</f>
        <v>0</v>
      </c>
      <c r="BH254" s="138">
        <f>IF(N254="sníž. přenesená",J254,0)</f>
        <v>0</v>
      </c>
      <c r="BI254" s="138">
        <f>IF(N254="nulová",J254,0)</f>
        <v>0</v>
      </c>
      <c r="BJ254" s="15" t="s">
        <v>143</v>
      </c>
      <c r="BK254" s="138">
        <f>ROUND(I254*H254,2)</f>
        <v>1390</v>
      </c>
      <c r="BL254" s="15" t="s">
        <v>206</v>
      </c>
      <c r="BM254" s="137" t="s">
        <v>1767</v>
      </c>
    </row>
    <row r="255" spans="2:65" s="1" customFormat="1" ht="24.2" customHeight="1">
      <c r="B255" s="126"/>
      <c r="C255" s="127" t="s">
        <v>562</v>
      </c>
      <c r="D255" s="127" t="s">
        <v>144</v>
      </c>
      <c r="E255" s="128" t="s">
        <v>1766</v>
      </c>
      <c r="F255" s="129" t="s">
        <v>1765</v>
      </c>
      <c r="G255" s="130" t="s">
        <v>1111</v>
      </c>
      <c r="H255" s="131">
        <v>5</v>
      </c>
      <c r="I255" s="132">
        <v>919</v>
      </c>
      <c r="J255" s="132">
        <f>ROUND(I255*H255,2)</f>
        <v>4595</v>
      </c>
      <c r="K255" s="129" t="s">
        <v>148</v>
      </c>
      <c r="L255" s="27"/>
      <c r="M255" s="133" t="s">
        <v>1</v>
      </c>
      <c r="N255" s="134" t="s">
        <v>39</v>
      </c>
      <c r="O255" s="135">
        <v>0.5</v>
      </c>
      <c r="P255" s="135">
        <f>O255*H255</f>
        <v>2.5</v>
      </c>
      <c r="Q255" s="135">
        <v>5.0000000000000001E-4</v>
      </c>
      <c r="R255" s="135">
        <f>Q255*H255</f>
        <v>2.5000000000000001E-3</v>
      </c>
      <c r="S255" s="135">
        <v>0</v>
      </c>
      <c r="T255" s="136">
        <f>S255*H255</f>
        <v>0</v>
      </c>
      <c r="AR255" s="137" t="s">
        <v>206</v>
      </c>
      <c r="AT255" s="137" t="s">
        <v>144</v>
      </c>
      <c r="AU255" s="137" t="s">
        <v>143</v>
      </c>
      <c r="AY255" s="15" t="s">
        <v>141</v>
      </c>
      <c r="BE255" s="138">
        <f>IF(N255="základní",J255,0)</f>
        <v>0</v>
      </c>
      <c r="BF255" s="138">
        <f>IF(N255="snížená",J255,0)</f>
        <v>4595</v>
      </c>
      <c r="BG255" s="138">
        <f>IF(N255="zákl. přenesená",J255,0)</f>
        <v>0</v>
      </c>
      <c r="BH255" s="138">
        <f>IF(N255="sníž. přenesená",J255,0)</f>
        <v>0</v>
      </c>
      <c r="BI255" s="138">
        <f>IF(N255="nulová",J255,0)</f>
        <v>0</v>
      </c>
      <c r="BJ255" s="15" t="s">
        <v>143</v>
      </c>
      <c r="BK255" s="138">
        <f>ROUND(I255*H255,2)</f>
        <v>4595</v>
      </c>
      <c r="BL255" s="15" t="s">
        <v>206</v>
      </c>
      <c r="BM255" s="137" t="s">
        <v>1764</v>
      </c>
    </row>
    <row r="256" spans="2:65" s="1" customFormat="1" ht="44.25" customHeight="1">
      <c r="B256" s="126"/>
      <c r="C256" s="127" t="s">
        <v>569</v>
      </c>
      <c r="D256" s="127" t="s">
        <v>144</v>
      </c>
      <c r="E256" s="128" t="s">
        <v>1763</v>
      </c>
      <c r="F256" s="129" t="s">
        <v>1762</v>
      </c>
      <c r="G256" s="130" t="s">
        <v>179</v>
      </c>
      <c r="H256" s="131">
        <v>8.6999999999999994E-2</v>
      </c>
      <c r="I256" s="132">
        <v>765</v>
      </c>
      <c r="J256" s="132">
        <f>ROUND(I256*H256,2)</f>
        <v>66.56</v>
      </c>
      <c r="K256" s="129" t="s">
        <v>148</v>
      </c>
      <c r="L256" s="27"/>
      <c r="M256" s="133" t="s">
        <v>1</v>
      </c>
      <c r="N256" s="134" t="s">
        <v>39</v>
      </c>
      <c r="O256" s="135">
        <v>1.5169999999999999</v>
      </c>
      <c r="P256" s="135">
        <f>O256*H256</f>
        <v>0.13197899999999999</v>
      </c>
      <c r="Q256" s="135">
        <v>0</v>
      </c>
      <c r="R256" s="135">
        <f>Q256*H256</f>
        <v>0</v>
      </c>
      <c r="S256" s="135">
        <v>0</v>
      </c>
      <c r="T256" s="136">
        <f>S256*H256</f>
        <v>0</v>
      </c>
      <c r="AR256" s="137" t="s">
        <v>206</v>
      </c>
      <c r="AT256" s="137" t="s">
        <v>144</v>
      </c>
      <c r="AU256" s="137" t="s">
        <v>143</v>
      </c>
      <c r="AY256" s="15" t="s">
        <v>141</v>
      </c>
      <c r="BE256" s="138">
        <f>IF(N256="základní",J256,0)</f>
        <v>0</v>
      </c>
      <c r="BF256" s="138">
        <f>IF(N256="snížená",J256,0)</f>
        <v>66.56</v>
      </c>
      <c r="BG256" s="138">
        <f>IF(N256="zákl. přenesená",J256,0)</f>
        <v>0</v>
      </c>
      <c r="BH256" s="138">
        <f>IF(N256="sníž. přenesená",J256,0)</f>
        <v>0</v>
      </c>
      <c r="BI256" s="138">
        <f>IF(N256="nulová",J256,0)</f>
        <v>0</v>
      </c>
      <c r="BJ256" s="15" t="s">
        <v>143</v>
      </c>
      <c r="BK256" s="138">
        <f>ROUND(I256*H256,2)</f>
        <v>66.56</v>
      </c>
      <c r="BL256" s="15" t="s">
        <v>206</v>
      </c>
      <c r="BM256" s="137" t="s">
        <v>1761</v>
      </c>
    </row>
    <row r="257" spans="2:65" s="11" customFormat="1" ht="22.9" customHeight="1">
      <c r="B257" s="115"/>
      <c r="D257" s="116" t="s">
        <v>72</v>
      </c>
      <c r="E257" s="124" t="s">
        <v>1500</v>
      </c>
      <c r="F257" s="124" t="s">
        <v>1499</v>
      </c>
      <c r="J257" s="125">
        <f>BK257</f>
        <v>7085.4</v>
      </c>
      <c r="L257" s="115"/>
      <c r="M257" s="119"/>
      <c r="P257" s="120">
        <f>SUM(P258:P261)</f>
        <v>1.2822580000000001</v>
      </c>
      <c r="R257" s="120">
        <f>SUM(R258:R261)</f>
        <v>5.9500000000000004E-3</v>
      </c>
      <c r="T257" s="121">
        <f>SUM(T258:T261)</f>
        <v>0</v>
      </c>
      <c r="AR257" s="116" t="s">
        <v>143</v>
      </c>
      <c r="AT257" s="122" t="s">
        <v>72</v>
      </c>
      <c r="AU257" s="122" t="s">
        <v>81</v>
      </c>
      <c r="AY257" s="116" t="s">
        <v>141</v>
      </c>
      <c r="BK257" s="123">
        <f>SUM(BK258:BK261)</f>
        <v>7085.4</v>
      </c>
    </row>
    <row r="258" spans="2:65" s="1" customFormat="1" ht="37.9" customHeight="1">
      <c r="B258" s="126"/>
      <c r="C258" s="127" t="s">
        <v>573</v>
      </c>
      <c r="D258" s="127" t="s">
        <v>144</v>
      </c>
      <c r="E258" s="128" t="s">
        <v>1760</v>
      </c>
      <c r="F258" s="129" t="s">
        <v>1759</v>
      </c>
      <c r="G258" s="130" t="s">
        <v>1111</v>
      </c>
      <c r="H258" s="131">
        <v>1</v>
      </c>
      <c r="I258" s="132">
        <v>4910</v>
      </c>
      <c r="J258" s="132">
        <f>ROUND(I258*H258,2)</f>
        <v>4910</v>
      </c>
      <c r="K258" s="129" t="s">
        <v>148</v>
      </c>
      <c r="L258" s="27"/>
      <c r="M258" s="133" t="s">
        <v>1</v>
      </c>
      <c r="N258" s="134" t="s">
        <v>39</v>
      </c>
      <c r="O258" s="135">
        <v>0.5</v>
      </c>
      <c r="P258" s="135">
        <f>O258*H258</f>
        <v>0.5</v>
      </c>
      <c r="Q258" s="135">
        <v>4.62E-3</v>
      </c>
      <c r="R258" s="135">
        <f>Q258*H258</f>
        <v>4.62E-3</v>
      </c>
      <c r="S258" s="135">
        <v>0</v>
      </c>
      <c r="T258" s="136">
        <f>S258*H258</f>
        <v>0</v>
      </c>
      <c r="AR258" s="137" t="s">
        <v>206</v>
      </c>
      <c r="AT258" s="137" t="s">
        <v>144</v>
      </c>
      <c r="AU258" s="137" t="s">
        <v>143</v>
      </c>
      <c r="AY258" s="15" t="s">
        <v>141</v>
      </c>
      <c r="BE258" s="138">
        <f>IF(N258="základní",J258,0)</f>
        <v>0</v>
      </c>
      <c r="BF258" s="138">
        <f>IF(N258="snížená",J258,0)</f>
        <v>4910</v>
      </c>
      <c r="BG258" s="138">
        <f>IF(N258="zákl. přenesená",J258,0)</f>
        <v>0</v>
      </c>
      <c r="BH258" s="138">
        <f>IF(N258="sníž. přenesená",J258,0)</f>
        <v>0</v>
      </c>
      <c r="BI258" s="138">
        <f>IF(N258="nulová",J258,0)</f>
        <v>0</v>
      </c>
      <c r="BJ258" s="15" t="s">
        <v>143</v>
      </c>
      <c r="BK258" s="138">
        <f>ROUND(I258*H258,2)</f>
        <v>4910</v>
      </c>
      <c r="BL258" s="15" t="s">
        <v>206</v>
      </c>
      <c r="BM258" s="137" t="s">
        <v>1758</v>
      </c>
    </row>
    <row r="259" spans="2:65" s="1" customFormat="1" ht="24.2" customHeight="1">
      <c r="B259" s="126"/>
      <c r="C259" s="127" t="s">
        <v>576</v>
      </c>
      <c r="D259" s="127" t="s">
        <v>144</v>
      </c>
      <c r="E259" s="128" t="s">
        <v>1757</v>
      </c>
      <c r="F259" s="129" t="s">
        <v>1756</v>
      </c>
      <c r="G259" s="130" t="s">
        <v>1111</v>
      </c>
      <c r="H259" s="131">
        <v>1</v>
      </c>
      <c r="I259" s="132">
        <v>764</v>
      </c>
      <c r="J259" s="132">
        <f>ROUND(I259*H259,2)</f>
        <v>764</v>
      </c>
      <c r="K259" s="129" t="s">
        <v>148</v>
      </c>
      <c r="L259" s="27"/>
      <c r="M259" s="133" t="s">
        <v>1</v>
      </c>
      <c r="N259" s="134" t="s">
        <v>39</v>
      </c>
      <c r="O259" s="135">
        <v>0.5</v>
      </c>
      <c r="P259" s="135">
        <f>O259*H259</f>
        <v>0.5</v>
      </c>
      <c r="Q259" s="135">
        <v>6.4999999999999997E-4</v>
      </c>
      <c r="R259" s="135">
        <f>Q259*H259</f>
        <v>6.4999999999999997E-4</v>
      </c>
      <c r="S259" s="135">
        <v>0</v>
      </c>
      <c r="T259" s="136">
        <f>S259*H259</f>
        <v>0</v>
      </c>
      <c r="AR259" s="137" t="s">
        <v>206</v>
      </c>
      <c r="AT259" s="137" t="s">
        <v>144</v>
      </c>
      <c r="AU259" s="137" t="s">
        <v>143</v>
      </c>
      <c r="AY259" s="15" t="s">
        <v>141</v>
      </c>
      <c r="BE259" s="138">
        <f>IF(N259="základní",J259,0)</f>
        <v>0</v>
      </c>
      <c r="BF259" s="138">
        <f>IF(N259="snížená",J259,0)</f>
        <v>764</v>
      </c>
      <c r="BG259" s="138">
        <f>IF(N259="zákl. přenesená",J259,0)</f>
        <v>0</v>
      </c>
      <c r="BH259" s="138">
        <f>IF(N259="sníž. přenesená",J259,0)</f>
        <v>0</v>
      </c>
      <c r="BI259" s="138">
        <f>IF(N259="nulová",J259,0)</f>
        <v>0</v>
      </c>
      <c r="BJ259" s="15" t="s">
        <v>143</v>
      </c>
      <c r="BK259" s="138">
        <f>ROUND(I259*H259,2)</f>
        <v>764</v>
      </c>
      <c r="BL259" s="15" t="s">
        <v>206</v>
      </c>
      <c r="BM259" s="137" t="s">
        <v>1755</v>
      </c>
    </row>
    <row r="260" spans="2:65" s="1" customFormat="1" ht="33" customHeight="1">
      <c r="B260" s="126"/>
      <c r="C260" s="127" t="s">
        <v>580</v>
      </c>
      <c r="D260" s="127" t="s">
        <v>144</v>
      </c>
      <c r="E260" s="128" t="s">
        <v>1754</v>
      </c>
      <c r="F260" s="129" t="s">
        <v>1753</v>
      </c>
      <c r="G260" s="130" t="s">
        <v>147</v>
      </c>
      <c r="H260" s="131">
        <v>1</v>
      </c>
      <c r="I260" s="132">
        <v>1400</v>
      </c>
      <c r="J260" s="132">
        <f>ROUND(I260*H260,2)</f>
        <v>1400</v>
      </c>
      <c r="K260" s="129" t="s">
        <v>148</v>
      </c>
      <c r="L260" s="27"/>
      <c r="M260" s="133" t="s">
        <v>1</v>
      </c>
      <c r="N260" s="134" t="s">
        <v>39</v>
      </c>
      <c r="O260" s="135">
        <v>0.25800000000000001</v>
      </c>
      <c r="P260" s="135">
        <f>O260*H260</f>
        <v>0.25800000000000001</v>
      </c>
      <c r="Q260" s="135">
        <v>6.8000000000000005E-4</v>
      </c>
      <c r="R260" s="135">
        <f>Q260*H260</f>
        <v>6.8000000000000005E-4</v>
      </c>
      <c r="S260" s="135">
        <v>0</v>
      </c>
      <c r="T260" s="136">
        <f>S260*H260</f>
        <v>0</v>
      </c>
      <c r="AR260" s="137" t="s">
        <v>206</v>
      </c>
      <c r="AT260" s="137" t="s">
        <v>144</v>
      </c>
      <c r="AU260" s="137" t="s">
        <v>143</v>
      </c>
      <c r="AY260" s="15" t="s">
        <v>141</v>
      </c>
      <c r="BE260" s="138">
        <f>IF(N260="základní",J260,0)</f>
        <v>0</v>
      </c>
      <c r="BF260" s="138">
        <f>IF(N260="snížená",J260,0)</f>
        <v>1400</v>
      </c>
      <c r="BG260" s="138">
        <f>IF(N260="zákl. přenesená",J260,0)</f>
        <v>0</v>
      </c>
      <c r="BH260" s="138">
        <f>IF(N260="sníž. přenesená",J260,0)</f>
        <v>0</v>
      </c>
      <c r="BI260" s="138">
        <f>IF(N260="nulová",J260,0)</f>
        <v>0</v>
      </c>
      <c r="BJ260" s="15" t="s">
        <v>143</v>
      </c>
      <c r="BK260" s="138">
        <f>ROUND(I260*H260,2)</f>
        <v>1400</v>
      </c>
      <c r="BL260" s="15" t="s">
        <v>206</v>
      </c>
      <c r="BM260" s="137" t="s">
        <v>1752</v>
      </c>
    </row>
    <row r="261" spans="2:65" s="1" customFormat="1" ht="44.25" customHeight="1">
      <c r="B261" s="126"/>
      <c r="C261" s="127" t="s">
        <v>583</v>
      </c>
      <c r="D261" s="127" t="s">
        <v>144</v>
      </c>
      <c r="E261" s="128" t="s">
        <v>1443</v>
      </c>
      <c r="F261" s="129" t="s">
        <v>1442</v>
      </c>
      <c r="G261" s="130" t="s">
        <v>179</v>
      </c>
      <c r="H261" s="131">
        <v>6.0000000000000001E-3</v>
      </c>
      <c r="I261" s="132">
        <v>1900</v>
      </c>
      <c r="J261" s="132">
        <f>ROUND(I261*H261,2)</f>
        <v>11.4</v>
      </c>
      <c r="K261" s="129" t="s">
        <v>148</v>
      </c>
      <c r="L261" s="27"/>
      <c r="M261" s="133" t="s">
        <v>1</v>
      </c>
      <c r="N261" s="134" t="s">
        <v>39</v>
      </c>
      <c r="O261" s="135">
        <v>4.0430000000000001</v>
      </c>
      <c r="P261" s="135">
        <f>O261*H261</f>
        <v>2.4258000000000002E-2</v>
      </c>
      <c r="Q261" s="135">
        <v>0</v>
      </c>
      <c r="R261" s="135">
        <f>Q261*H261</f>
        <v>0</v>
      </c>
      <c r="S261" s="135">
        <v>0</v>
      </c>
      <c r="T261" s="136">
        <f>S261*H261</f>
        <v>0</v>
      </c>
      <c r="AR261" s="137" t="s">
        <v>206</v>
      </c>
      <c r="AT261" s="137" t="s">
        <v>144</v>
      </c>
      <c r="AU261" s="137" t="s">
        <v>143</v>
      </c>
      <c r="AY261" s="15" t="s">
        <v>141</v>
      </c>
      <c r="BE261" s="138">
        <f>IF(N261="základní",J261,0)</f>
        <v>0</v>
      </c>
      <c r="BF261" s="138">
        <f>IF(N261="snížená",J261,0)</f>
        <v>11.4</v>
      </c>
      <c r="BG261" s="138">
        <f>IF(N261="zákl. přenesená",J261,0)</f>
        <v>0</v>
      </c>
      <c r="BH261" s="138">
        <f>IF(N261="sníž. přenesená",J261,0)</f>
        <v>0</v>
      </c>
      <c r="BI261" s="138">
        <f>IF(N261="nulová",J261,0)</f>
        <v>0</v>
      </c>
      <c r="BJ261" s="15" t="s">
        <v>143</v>
      </c>
      <c r="BK261" s="138">
        <f>ROUND(I261*H261,2)</f>
        <v>11.4</v>
      </c>
      <c r="BL261" s="15" t="s">
        <v>206</v>
      </c>
      <c r="BM261" s="137" t="s">
        <v>1751</v>
      </c>
    </row>
    <row r="262" spans="2:65" s="11" customFormat="1" ht="22.9" customHeight="1">
      <c r="B262" s="115"/>
      <c r="D262" s="116" t="s">
        <v>72</v>
      </c>
      <c r="E262" s="124" t="s">
        <v>1390</v>
      </c>
      <c r="F262" s="124" t="s">
        <v>1389</v>
      </c>
      <c r="J262" s="125">
        <f>BK262</f>
        <v>9223.2999999999993</v>
      </c>
      <c r="L262" s="115"/>
      <c r="M262" s="119"/>
      <c r="P262" s="120">
        <f>SUM(P263:P268)</f>
        <v>1.7769999999999999</v>
      </c>
      <c r="R262" s="120">
        <f>SUM(R263:R268)</f>
        <v>5.5399999999999998E-3</v>
      </c>
      <c r="T262" s="121">
        <f>SUM(T263:T268)</f>
        <v>0</v>
      </c>
      <c r="AR262" s="116" t="s">
        <v>143</v>
      </c>
      <c r="AT262" s="122" t="s">
        <v>72</v>
      </c>
      <c r="AU262" s="122" t="s">
        <v>81</v>
      </c>
      <c r="AY262" s="116" t="s">
        <v>141</v>
      </c>
      <c r="BK262" s="123">
        <f>SUM(BK263:BK268)</f>
        <v>9223.2999999999993</v>
      </c>
    </row>
    <row r="263" spans="2:65" s="1" customFormat="1" ht="24.2" customHeight="1">
      <c r="B263" s="126"/>
      <c r="C263" s="127" t="s">
        <v>587</v>
      </c>
      <c r="D263" s="127" t="s">
        <v>144</v>
      </c>
      <c r="E263" s="128" t="s">
        <v>1750</v>
      </c>
      <c r="F263" s="129" t="s">
        <v>1749</v>
      </c>
      <c r="G263" s="130" t="s">
        <v>147</v>
      </c>
      <c r="H263" s="131">
        <v>4</v>
      </c>
      <c r="I263" s="132">
        <v>1670</v>
      </c>
      <c r="J263" s="132">
        <f t="shared" ref="J263:J268" si="40">ROUND(I263*H263,2)</f>
        <v>6680</v>
      </c>
      <c r="K263" s="129" t="s">
        <v>1</v>
      </c>
      <c r="L263" s="27"/>
      <c r="M263" s="133" t="s">
        <v>1</v>
      </c>
      <c r="N263" s="134" t="s">
        <v>39</v>
      </c>
      <c r="O263" s="135">
        <v>0.20599999999999999</v>
      </c>
      <c r="P263" s="135">
        <f t="shared" ref="P263:P268" si="41">O263*H263</f>
        <v>0.82399999999999995</v>
      </c>
      <c r="Q263" s="135">
        <v>5.1999999999999995E-4</v>
      </c>
      <c r="R263" s="135">
        <f t="shared" ref="R263:R268" si="42">Q263*H263</f>
        <v>2.0799999999999998E-3</v>
      </c>
      <c r="S263" s="135">
        <v>0</v>
      </c>
      <c r="T263" s="136">
        <f t="shared" ref="T263:T268" si="43">S263*H263</f>
        <v>0</v>
      </c>
      <c r="AR263" s="137" t="s">
        <v>206</v>
      </c>
      <c r="AT263" s="137" t="s">
        <v>144</v>
      </c>
      <c r="AU263" s="137" t="s">
        <v>143</v>
      </c>
      <c r="AY263" s="15" t="s">
        <v>141</v>
      </c>
      <c r="BE263" s="138">
        <f t="shared" ref="BE263:BE268" si="44">IF(N263="základní",J263,0)</f>
        <v>0</v>
      </c>
      <c r="BF263" s="138">
        <f t="shared" ref="BF263:BF268" si="45">IF(N263="snížená",J263,0)</f>
        <v>6680</v>
      </c>
      <c r="BG263" s="138">
        <f t="shared" ref="BG263:BG268" si="46">IF(N263="zákl. přenesená",J263,0)</f>
        <v>0</v>
      </c>
      <c r="BH263" s="138">
        <f t="shared" ref="BH263:BH268" si="47">IF(N263="sníž. přenesená",J263,0)</f>
        <v>0</v>
      </c>
      <c r="BI263" s="138">
        <f t="shared" ref="BI263:BI268" si="48">IF(N263="nulová",J263,0)</f>
        <v>0</v>
      </c>
      <c r="BJ263" s="15" t="s">
        <v>143</v>
      </c>
      <c r="BK263" s="138">
        <f t="shared" ref="BK263:BK268" si="49">ROUND(I263*H263,2)</f>
        <v>6680</v>
      </c>
      <c r="BL263" s="15" t="s">
        <v>206</v>
      </c>
      <c r="BM263" s="137" t="s">
        <v>1748</v>
      </c>
    </row>
    <row r="264" spans="2:65" s="1" customFormat="1" ht="21.75" customHeight="1">
      <c r="B264" s="126"/>
      <c r="C264" s="127" t="s">
        <v>592</v>
      </c>
      <c r="D264" s="127" t="s">
        <v>144</v>
      </c>
      <c r="E264" s="128" t="s">
        <v>1747</v>
      </c>
      <c r="F264" s="129" t="s">
        <v>1746</v>
      </c>
      <c r="G264" s="130" t="s">
        <v>147</v>
      </c>
      <c r="H264" s="131">
        <v>1</v>
      </c>
      <c r="I264" s="132">
        <v>261</v>
      </c>
      <c r="J264" s="132">
        <f t="shared" si="40"/>
        <v>261</v>
      </c>
      <c r="K264" s="129" t="s">
        <v>148</v>
      </c>
      <c r="L264" s="27"/>
      <c r="M264" s="133" t="s">
        <v>1</v>
      </c>
      <c r="N264" s="134" t="s">
        <v>39</v>
      </c>
      <c r="O264" s="135">
        <v>9.2999999999999999E-2</v>
      </c>
      <c r="P264" s="135">
        <f t="shared" si="41"/>
        <v>9.2999999999999999E-2</v>
      </c>
      <c r="Q264" s="135">
        <v>3.6000000000000002E-4</v>
      </c>
      <c r="R264" s="135">
        <f t="shared" si="42"/>
        <v>3.6000000000000002E-4</v>
      </c>
      <c r="S264" s="135">
        <v>0</v>
      </c>
      <c r="T264" s="136">
        <f t="shared" si="43"/>
        <v>0</v>
      </c>
      <c r="AR264" s="137" t="s">
        <v>206</v>
      </c>
      <c r="AT264" s="137" t="s">
        <v>144</v>
      </c>
      <c r="AU264" s="137" t="s">
        <v>143</v>
      </c>
      <c r="AY264" s="15" t="s">
        <v>141</v>
      </c>
      <c r="BE264" s="138">
        <f t="shared" si="44"/>
        <v>0</v>
      </c>
      <c r="BF264" s="138">
        <f t="shared" si="45"/>
        <v>261</v>
      </c>
      <c r="BG264" s="138">
        <f t="shared" si="46"/>
        <v>0</v>
      </c>
      <c r="BH264" s="138">
        <f t="shared" si="47"/>
        <v>0</v>
      </c>
      <c r="BI264" s="138">
        <f t="shared" si="48"/>
        <v>0</v>
      </c>
      <c r="BJ264" s="15" t="s">
        <v>143</v>
      </c>
      <c r="BK264" s="138">
        <f t="shared" si="49"/>
        <v>261</v>
      </c>
      <c r="BL264" s="15" t="s">
        <v>206</v>
      </c>
      <c r="BM264" s="137" t="s">
        <v>1745</v>
      </c>
    </row>
    <row r="265" spans="2:65" s="1" customFormat="1" ht="21.75" customHeight="1">
      <c r="B265" s="126"/>
      <c r="C265" s="127" t="s">
        <v>596</v>
      </c>
      <c r="D265" s="127" t="s">
        <v>144</v>
      </c>
      <c r="E265" s="128" t="s">
        <v>1370</v>
      </c>
      <c r="F265" s="129" t="s">
        <v>1369</v>
      </c>
      <c r="G265" s="130" t="s">
        <v>147</v>
      </c>
      <c r="H265" s="131">
        <v>2</v>
      </c>
      <c r="I265" s="132">
        <v>371</v>
      </c>
      <c r="J265" s="132">
        <f t="shared" si="40"/>
        <v>742</v>
      </c>
      <c r="K265" s="129" t="s">
        <v>148</v>
      </c>
      <c r="L265" s="27"/>
      <c r="M265" s="133" t="s">
        <v>1</v>
      </c>
      <c r="N265" s="134" t="s">
        <v>39</v>
      </c>
      <c r="O265" s="135">
        <v>0.10299999999999999</v>
      </c>
      <c r="P265" s="135">
        <f t="shared" si="41"/>
        <v>0.20599999999999999</v>
      </c>
      <c r="Q265" s="135">
        <v>4.4000000000000002E-4</v>
      </c>
      <c r="R265" s="135">
        <f t="shared" si="42"/>
        <v>8.8000000000000003E-4</v>
      </c>
      <c r="S265" s="135">
        <v>0</v>
      </c>
      <c r="T265" s="136">
        <f t="shared" si="43"/>
        <v>0</v>
      </c>
      <c r="AR265" s="137" t="s">
        <v>206</v>
      </c>
      <c r="AT265" s="137" t="s">
        <v>144</v>
      </c>
      <c r="AU265" s="137" t="s">
        <v>143</v>
      </c>
      <c r="AY265" s="15" t="s">
        <v>141</v>
      </c>
      <c r="BE265" s="138">
        <f t="shared" si="44"/>
        <v>0</v>
      </c>
      <c r="BF265" s="138">
        <f t="shared" si="45"/>
        <v>742</v>
      </c>
      <c r="BG265" s="138">
        <f t="shared" si="46"/>
        <v>0</v>
      </c>
      <c r="BH265" s="138">
        <f t="shared" si="47"/>
        <v>0</v>
      </c>
      <c r="BI265" s="138">
        <f t="shared" si="48"/>
        <v>0</v>
      </c>
      <c r="BJ265" s="15" t="s">
        <v>143</v>
      </c>
      <c r="BK265" s="138">
        <f t="shared" si="49"/>
        <v>742</v>
      </c>
      <c r="BL265" s="15" t="s">
        <v>206</v>
      </c>
      <c r="BM265" s="137" t="s">
        <v>1744</v>
      </c>
    </row>
    <row r="266" spans="2:65" s="1" customFormat="1" ht="37.9" customHeight="1">
      <c r="B266" s="126"/>
      <c r="C266" s="127" t="s">
        <v>601</v>
      </c>
      <c r="D266" s="127" t="s">
        <v>144</v>
      </c>
      <c r="E266" s="128" t="s">
        <v>1743</v>
      </c>
      <c r="F266" s="129" t="s">
        <v>1742</v>
      </c>
      <c r="G266" s="130" t="s">
        <v>147</v>
      </c>
      <c r="H266" s="131">
        <v>1</v>
      </c>
      <c r="I266" s="132">
        <v>1160</v>
      </c>
      <c r="J266" s="132">
        <f t="shared" si="40"/>
        <v>1160</v>
      </c>
      <c r="K266" s="129" t="s">
        <v>148</v>
      </c>
      <c r="L266" s="27"/>
      <c r="M266" s="133" t="s">
        <v>1</v>
      </c>
      <c r="N266" s="134" t="s">
        <v>39</v>
      </c>
      <c r="O266" s="135">
        <v>0.433</v>
      </c>
      <c r="P266" s="135">
        <f t="shared" si="41"/>
        <v>0.433</v>
      </c>
      <c r="Q266" s="135">
        <v>1.47E-3</v>
      </c>
      <c r="R266" s="135">
        <f t="shared" si="42"/>
        <v>1.47E-3</v>
      </c>
      <c r="S266" s="135">
        <v>0</v>
      </c>
      <c r="T266" s="136">
        <f t="shared" si="43"/>
        <v>0</v>
      </c>
      <c r="AR266" s="137" t="s">
        <v>206</v>
      </c>
      <c r="AT266" s="137" t="s">
        <v>144</v>
      </c>
      <c r="AU266" s="137" t="s">
        <v>143</v>
      </c>
      <c r="AY266" s="15" t="s">
        <v>141</v>
      </c>
      <c r="BE266" s="138">
        <f t="shared" si="44"/>
        <v>0</v>
      </c>
      <c r="BF266" s="138">
        <f t="shared" si="45"/>
        <v>1160</v>
      </c>
      <c r="BG266" s="138">
        <f t="shared" si="46"/>
        <v>0</v>
      </c>
      <c r="BH266" s="138">
        <f t="shared" si="47"/>
        <v>0</v>
      </c>
      <c r="BI266" s="138">
        <f t="shared" si="48"/>
        <v>0</v>
      </c>
      <c r="BJ266" s="15" t="s">
        <v>143</v>
      </c>
      <c r="BK266" s="138">
        <f t="shared" si="49"/>
        <v>1160</v>
      </c>
      <c r="BL266" s="15" t="s">
        <v>206</v>
      </c>
      <c r="BM266" s="137" t="s">
        <v>1741</v>
      </c>
    </row>
    <row r="267" spans="2:65" s="1" customFormat="1" ht="24.2" customHeight="1">
      <c r="B267" s="126"/>
      <c r="C267" s="127" t="s">
        <v>605</v>
      </c>
      <c r="D267" s="127" t="s">
        <v>144</v>
      </c>
      <c r="E267" s="128" t="s">
        <v>1328</v>
      </c>
      <c r="F267" s="129" t="s">
        <v>1327</v>
      </c>
      <c r="G267" s="130" t="s">
        <v>147</v>
      </c>
      <c r="H267" s="131">
        <v>1</v>
      </c>
      <c r="I267" s="132">
        <v>374</v>
      </c>
      <c r="J267" s="132">
        <f t="shared" si="40"/>
        <v>374</v>
      </c>
      <c r="K267" s="129" t="s">
        <v>148</v>
      </c>
      <c r="L267" s="27"/>
      <c r="M267" s="133" t="s">
        <v>1</v>
      </c>
      <c r="N267" s="134" t="s">
        <v>39</v>
      </c>
      <c r="O267" s="135">
        <v>0.20599999999999999</v>
      </c>
      <c r="P267" s="135">
        <f t="shared" si="41"/>
        <v>0.20599999999999999</v>
      </c>
      <c r="Q267" s="135">
        <v>7.5000000000000002E-4</v>
      </c>
      <c r="R267" s="135">
        <f t="shared" si="42"/>
        <v>7.5000000000000002E-4</v>
      </c>
      <c r="S267" s="135">
        <v>0</v>
      </c>
      <c r="T267" s="136">
        <f t="shared" si="43"/>
        <v>0</v>
      </c>
      <c r="AR267" s="137" t="s">
        <v>206</v>
      </c>
      <c r="AT267" s="137" t="s">
        <v>144</v>
      </c>
      <c r="AU267" s="137" t="s">
        <v>143</v>
      </c>
      <c r="AY267" s="15" t="s">
        <v>141</v>
      </c>
      <c r="BE267" s="138">
        <f t="shared" si="44"/>
        <v>0</v>
      </c>
      <c r="BF267" s="138">
        <f t="shared" si="45"/>
        <v>374</v>
      </c>
      <c r="BG267" s="138">
        <f t="shared" si="46"/>
        <v>0</v>
      </c>
      <c r="BH267" s="138">
        <f t="shared" si="47"/>
        <v>0</v>
      </c>
      <c r="BI267" s="138">
        <f t="shared" si="48"/>
        <v>0</v>
      </c>
      <c r="BJ267" s="15" t="s">
        <v>143</v>
      </c>
      <c r="BK267" s="138">
        <f t="shared" si="49"/>
        <v>374</v>
      </c>
      <c r="BL267" s="15" t="s">
        <v>206</v>
      </c>
      <c r="BM267" s="137" t="s">
        <v>1740</v>
      </c>
    </row>
    <row r="268" spans="2:65" s="1" customFormat="1" ht="44.25" customHeight="1">
      <c r="B268" s="126"/>
      <c r="C268" s="127" t="s">
        <v>610</v>
      </c>
      <c r="D268" s="127" t="s">
        <v>144</v>
      </c>
      <c r="E268" s="128" t="s">
        <v>1325</v>
      </c>
      <c r="F268" s="129" t="s">
        <v>1324</v>
      </c>
      <c r="G268" s="130" t="s">
        <v>179</v>
      </c>
      <c r="H268" s="131">
        <v>6.0000000000000001E-3</v>
      </c>
      <c r="I268" s="132">
        <v>1050</v>
      </c>
      <c r="J268" s="132">
        <f t="shared" si="40"/>
        <v>6.3</v>
      </c>
      <c r="K268" s="129" t="s">
        <v>148</v>
      </c>
      <c r="L268" s="27"/>
      <c r="M268" s="133" t="s">
        <v>1</v>
      </c>
      <c r="N268" s="134" t="s">
        <v>39</v>
      </c>
      <c r="O268" s="135">
        <v>2.5</v>
      </c>
      <c r="P268" s="135">
        <f t="shared" si="41"/>
        <v>1.4999999999999999E-2</v>
      </c>
      <c r="Q268" s="135">
        <v>0</v>
      </c>
      <c r="R268" s="135">
        <f t="shared" si="42"/>
        <v>0</v>
      </c>
      <c r="S268" s="135">
        <v>0</v>
      </c>
      <c r="T268" s="136">
        <f t="shared" si="43"/>
        <v>0</v>
      </c>
      <c r="AR268" s="137" t="s">
        <v>206</v>
      </c>
      <c r="AT268" s="137" t="s">
        <v>144</v>
      </c>
      <c r="AU268" s="137" t="s">
        <v>143</v>
      </c>
      <c r="AY268" s="15" t="s">
        <v>141</v>
      </c>
      <c r="BE268" s="138">
        <f t="shared" si="44"/>
        <v>0</v>
      </c>
      <c r="BF268" s="138">
        <f t="shared" si="45"/>
        <v>6.3</v>
      </c>
      <c r="BG268" s="138">
        <f t="shared" si="46"/>
        <v>0</v>
      </c>
      <c r="BH268" s="138">
        <f t="shared" si="47"/>
        <v>0</v>
      </c>
      <c r="BI268" s="138">
        <f t="shared" si="48"/>
        <v>0</v>
      </c>
      <c r="BJ268" s="15" t="s">
        <v>143</v>
      </c>
      <c r="BK268" s="138">
        <f t="shared" si="49"/>
        <v>6.3</v>
      </c>
      <c r="BL268" s="15" t="s">
        <v>206</v>
      </c>
      <c r="BM268" s="137" t="s">
        <v>1739</v>
      </c>
    </row>
    <row r="269" spans="2:65" s="11" customFormat="1" ht="25.9" customHeight="1">
      <c r="B269" s="115"/>
      <c r="D269" s="116" t="s">
        <v>72</v>
      </c>
      <c r="E269" s="117" t="s">
        <v>1251</v>
      </c>
      <c r="F269" s="117" t="s">
        <v>1250</v>
      </c>
      <c r="J269" s="118">
        <f>BK269</f>
        <v>26700</v>
      </c>
      <c r="L269" s="115"/>
      <c r="M269" s="119"/>
      <c r="P269" s="120">
        <f>P270</f>
        <v>50</v>
      </c>
      <c r="R269" s="120">
        <f>R270</f>
        <v>0</v>
      </c>
      <c r="T269" s="121">
        <f>T270</f>
        <v>0</v>
      </c>
      <c r="AR269" s="116" t="s">
        <v>149</v>
      </c>
      <c r="AT269" s="122" t="s">
        <v>72</v>
      </c>
      <c r="AU269" s="122" t="s">
        <v>73</v>
      </c>
      <c r="AY269" s="116" t="s">
        <v>141</v>
      </c>
      <c r="BK269" s="123">
        <f>BK270</f>
        <v>26700</v>
      </c>
    </row>
    <row r="270" spans="2:65" s="1" customFormat="1" ht="24.2" customHeight="1">
      <c r="B270" s="126"/>
      <c r="C270" s="127" t="s">
        <v>614</v>
      </c>
      <c r="D270" s="127" t="s">
        <v>144</v>
      </c>
      <c r="E270" s="128" t="s">
        <v>1249</v>
      </c>
      <c r="F270" s="129" t="s">
        <v>1248</v>
      </c>
      <c r="G270" s="130" t="s">
        <v>1247</v>
      </c>
      <c r="H270" s="131">
        <v>50</v>
      </c>
      <c r="I270" s="132">
        <v>534</v>
      </c>
      <c r="J270" s="132">
        <f>ROUND(I270*H270,2)</f>
        <v>26700</v>
      </c>
      <c r="K270" s="129" t="s">
        <v>148</v>
      </c>
      <c r="L270" s="27"/>
      <c r="M270" s="155" t="s">
        <v>1</v>
      </c>
      <c r="N270" s="156" t="s">
        <v>39</v>
      </c>
      <c r="O270" s="157">
        <v>1</v>
      </c>
      <c r="P270" s="157">
        <f>O270*H270</f>
        <v>50</v>
      </c>
      <c r="Q270" s="157">
        <v>0</v>
      </c>
      <c r="R270" s="157">
        <f>Q270*H270</f>
        <v>0</v>
      </c>
      <c r="S270" s="157">
        <v>0</v>
      </c>
      <c r="T270" s="158">
        <f>S270*H270</f>
        <v>0</v>
      </c>
      <c r="AR270" s="137" t="s">
        <v>1246</v>
      </c>
      <c r="AT270" s="137" t="s">
        <v>144</v>
      </c>
      <c r="AU270" s="137" t="s">
        <v>81</v>
      </c>
      <c r="AY270" s="15" t="s">
        <v>141</v>
      </c>
      <c r="BE270" s="138">
        <f>IF(N270="základní",J270,0)</f>
        <v>0</v>
      </c>
      <c r="BF270" s="138">
        <f>IF(N270="snížená",J270,0)</f>
        <v>26700</v>
      </c>
      <c r="BG270" s="138">
        <f>IF(N270="zákl. přenesená",J270,0)</f>
        <v>0</v>
      </c>
      <c r="BH270" s="138">
        <f>IF(N270="sníž. přenesená",J270,0)</f>
        <v>0</v>
      </c>
      <c r="BI270" s="138">
        <f>IF(N270="nulová",J270,0)</f>
        <v>0</v>
      </c>
      <c r="BJ270" s="15" t="s">
        <v>143</v>
      </c>
      <c r="BK270" s="138">
        <f>ROUND(I270*H270,2)</f>
        <v>26700</v>
      </c>
      <c r="BL270" s="15" t="s">
        <v>1246</v>
      </c>
      <c r="BM270" s="137" t="s">
        <v>1738</v>
      </c>
    </row>
    <row r="271" spans="2:65" s="1" customFormat="1" ht="6.95" customHeight="1">
      <c r="B271" s="39"/>
      <c r="C271" s="40"/>
      <c r="D271" s="40"/>
      <c r="E271" s="40"/>
      <c r="F271" s="40"/>
      <c r="G271" s="40"/>
      <c r="H271" s="40"/>
      <c r="I271" s="40"/>
      <c r="J271" s="40"/>
      <c r="K271" s="40"/>
      <c r="L271" s="27"/>
    </row>
  </sheetData>
  <autoFilter ref="C127:K270" xr:uid="{00000000-0009-0000-0000-000007000000}"/>
  <mergeCells count="9">
    <mergeCell ref="E87:H87"/>
    <mergeCell ref="E118:H118"/>
    <mergeCell ref="E120:H120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CA3CD0-FEBD-4DE7-A591-4B3DBCD214CA}">
  <sheetPr>
    <pageSetUpPr fitToPage="1"/>
  </sheetPr>
  <dimension ref="B2:BM219"/>
  <sheetViews>
    <sheetView showGridLines="0" topLeftCell="A123" workbookViewId="0"/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</cols>
  <sheetData>
    <row r="2" spans="2:46" ht="36.950000000000003" customHeight="1">
      <c r="L2" s="269" t="s">
        <v>5</v>
      </c>
      <c r="M2" s="250"/>
      <c r="N2" s="250"/>
      <c r="O2" s="250"/>
      <c r="P2" s="250"/>
      <c r="Q2" s="250"/>
      <c r="R2" s="250"/>
      <c r="S2" s="250"/>
      <c r="T2" s="250"/>
      <c r="U2" s="250"/>
      <c r="V2" s="250"/>
      <c r="AT2" s="15" t="s">
        <v>1516</v>
      </c>
    </row>
    <row r="3" spans="2:46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81</v>
      </c>
    </row>
    <row r="4" spans="2:46" ht="24.95" customHeight="1">
      <c r="B4" s="18"/>
      <c r="D4" s="19" t="s">
        <v>89</v>
      </c>
      <c r="L4" s="18"/>
      <c r="M4" s="83" t="s">
        <v>10</v>
      </c>
      <c r="AT4" s="15" t="s">
        <v>3</v>
      </c>
    </row>
    <row r="5" spans="2:46" ht="6.95" customHeight="1">
      <c r="B5" s="18"/>
      <c r="L5" s="18"/>
    </row>
    <row r="6" spans="2:46" ht="12" customHeight="1">
      <c r="B6" s="18"/>
      <c r="D6" s="24" t="s">
        <v>14</v>
      </c>
      <c r="L6" s="18"/>
    </row>
    <row r="7" spans="2:46" ht="26.25" customHeight="1">
      <c r="B7" s="18"/>
      <c r="E7" s="283" t="s">
        <v>2465</v>
      </c>
      <c r="F7" s="284"/>
      <c r="G7" s="284"/>
      <c r="H7" s="284"/>
      <c r="L7" s="18"/>
    </row>
    <row r="8" spans="2:46" s="1" customFormat="1" ht="12" customHeight="1">
      <c r="B8" s="27"/>
      <c r="D8" s="24" t="s">
        <v>90</v>
      </c>
      <c r="L8" s="27"/>
    </row>
    <row r="9" spans="2:46" s="1" customFormat="1" ht="16.5" customHeight="1">
      <c r="B9" s="27"/>
      <c r="E9" s="270" t="s">
        <v>1515</v>
      </c>
      <c r="F9" s="285"/>
      <c r="G9" s="285"/>
      <c r="H9" s="285"/>
      <c r="L9" s="27"/>
    </row>
    <row r="10" spans="2:46" s="1" customFormat="1">
      <c r="B10" s="27"/>
      <c r="L10" s="27"/>
    </row>
    <row r="11" spans="2:46" s="1" customFormat="1" ht="12" customHeight="1">
      <c r="B11" s="27"/>
      <c r="D11" s="24" t="s">
        <v>16</v>
      </c>
      <c r="F11" s="22" t="s">
        <v>1</v>
      </c>
      <c r="I11" s="24" t="s">
        <v>17</v>
      </c>
      <c r="J11" s="22" t="s">
        <v>1</v>
      </c>
      <c r="L11" s="27"/>
    </row>
    <row r="12" spans="2:46" s="1" customFormat="1" ht="12" customHeight="1">
      <c r="B12" s="27"/>
      <c r="D12" s="24" t="s">
        <v>18</v>
      </c>
      <c r="F12" s="22" t="s">
        <v>1514</v>
      </c>
      <c r="I12" s="24" t="s">
        <v>20</v>
      </c>
      <c r="J12" s="47" t="s">
        <v>2466</v>
      </c>
      <c r="L12" s="27"/>
    </row>
    <row r="13" spans="2:46" s="1" customFormat="1" ht="10.9" customHeight="1">
      <c r="B13" s="27"/>
      <c r="L13" s="27"/>
    </row>
    <row r="14" spans="2:46" s="1" customFormat="1" ht="12" customHeight="1">
      <c r="B14" s="27"/>
      <c r="D14" s="24" t="s">
        <v>21</v>
      </c>
      <c r="I14" s="24" t="s">
        <v>22</v>
      </c>
      <c r="J14" s="22" t="s">
        <v>1</v>
      </c>
      <c r="L14" s="27"/>
    </row>
    <row r="15" spans="2:46" s="1" customFormat="1" ht="18" customHeight="1">
      <c r="B15" s="27"/>
      <c r="E15" s="22" t="s">
        <v>2467</v>
      </c>
      <c r="I15" s="24" t="s">
        <v>24</v>
      </c>
      <c r="J15" s="22" t="s">
        <v>1</v>
      </c>
      <c r="L15" s="27"/>
    </row>
    <row r="16" spans="2:46" s="1" customFormat="1" ht="6.95" customHeight="1">
      <c r="B16" s="27"/>
      <c r="L16" s="27"/>
    </row>
    <row r="17" spans="2:12" s="1" customFormat="1" ht="12" customHeight="1">
      <c r="B17" s="27"/>
      <c r="D17" s="24" t="s">
        <v>25</v>
      </c>
      <c r="I17" s="24" t="s">
        <v>22</v>
      </c>
      <c r="J17" s="22" t="s">
        <v>1</v>
      </c>
      <c r="L17" s="27"/>
    </row>
    <row r="18" spans="2:12" s="1" customFormat="1" ht="18" customHeight="1">
      <c r="B18" s="27"/>
      <c r="E18" s="249" t="s">
        <v>2467</v>
      </c>
      <c r="F18" s="249"/>
      <c r="G18" s="249"/>
      <c r="H18" s="249"/>
      <c r="I18" s="24" t="s">
        <v>24</v>
      </c>
      <c r="J18" s="22" t="s">
        <v>1</v>
      </c>
      <c r="L18" s="27"/>
    </row>
    <row r="19" spans="2:12" s="1" customFormat="1" ht="6.95" customHeight="1">
      <c r="B19" s="27"/>
      <c r="L19" s="27"/>
    </row>
    <row r="20" spans="2:12" s="1" customFormat="1" ht="12" customHeight="1">
      <c r="B20" s="27"/>
      <c r="D20" s="24" t="s">
        <v>27</v>
      </c>
      <c r="I20" s="24" t="s">
        <v>22</v>
      </c>
      <c r="J20" s="22" t="s">
        <v>1</v>
      </c>
      <c r="L20" s="27"/>
    </row>
    <row r="21" spans="2:12" s="1" customFormat="1" ht="18" customHeight="1">
      <c r="B21" s="27"/>
      <c r="E21" s="22" t="s">
        <v>2467</v>
      </c>
      <c r="I21" s="24" t="s">
        <v>24</v>
      </c>
      <c r="J21" s="22" t="s">
        <v>1</v>
      </c>
      <c r="L21" s="27"/>
    </row>
    <row r="22" spans="2:12" s="1" customFormat="1" ht="6.95" customHeight="1">
      <c r="B22" s="27"/>
      <c r="L22" s="27"/>
    </row>
    <row r="23" spans="2:12" s="1" customFormat="1" ht="12" customHeight="1">
      <c r="B23" s="27"/>
      <c r="D23" s="24" t="s">
        <v>30</v>
      </c>
      <c r="I23" s="24" t="s">
        <v>22</v>
      </c>
      <c r="J23" s="22" t="s">
        <v>1</v>
      </c>
      <c r="L23" s="27"/>
    </row>
    <row r="24" spans="2:12" s="1" customFormat="1" ht="18" customHeight="1">
      <c r="B24" s="27"/>
      <c r="E24" s="22" t="s">
        <v>2467</v>
      </c>
      <c r="I24" s="24" t="s">
        <v>24</v>
      </c>
      <c r="J24" s="22" t="s">
        <v>1</v>
      </c>
      <c r="L24" s="27"/>
    </row>
    <row r="25" spans="2:12" s="1" customFormat="1" ht="6.95" customHeight="1">
      <c r="B25" s="27"/>
      <c r="L25" s="27"/>
    </row>
    <row r="26" spans="2:12" s="1" customFormat="1" ht="12" customHeight="1">
      <c r="B26" s="27"/>
      <c r="D26" s="24" t="s">
        <v>32</v>
      </c>
      <c r="L26" s="27"/>
    </row>
    <row r="27" spans="2:12" s="7" customFormat="1" ht="16.5" customHeight="1">
      <c r="B27" s="84"/>
      <c r="E27" s="252" t="s">
        <v>1</v>
      </c>
      <c r="F27" s="252"/>
      <c r="G27" s="252"/>
      <c r="H27" s="252"/>
      <c r="L27" s="84"/>
    </row>
    <row r="28" spans="2:12" s="1" customFormat="1" ht="6.95" customHeight="1">
      <c r="B28" s="27"/>
      <c r="L28" s="27"/>
    </row>
    <row r="29" spans="2:12" s="1" customFormat="1" ht="6.95" customHeight="1">
      <c r="B29" s="27"/>
      <c r="D29" s="48"/>
      <c r="E29" s="48"/>
      <c r="F29" s="48"/>
      <c r="G29" s="48"/>
      <c r="H29" s="48"/>
      <c r="I29" s="48"/>
      <c r="J29" s="48"/>
      <c r="K29" s="48"/>
      <c r="L29" s="27"/>
    </row>
    <row r="30" spans="2:12" s="1" customFormat="1" ht="25.35" customHeight="1">
      <c r="B30" s="27"/>
      <c r="D30" s="85" t="s">
        <v>33</v>
      </c>
      <c r="J30" s="61">
        <f>ROUND(J123, 2)</f>
        <v>2688427.17</v>
      </c>
      <c r="L30" s="27"/>
    </row>
    <row r="31" spans="2:12" s="1" customFormat="1" ht="6.95" customHeight="1">
      <c r="B31" s="27"/>
      <c r="D31" s="48"/>
      <c r="E31" s="48"/>
      <c r="F31" s="48"/>
      <c r="G31" s="48"/>
      <c r="H31" s="48"/>
      <c r="I31" s="48"/>
      <c r="J31" s="48"/>
      <c r="K31" s="48"/>
      <c r="L31" s="27"/>
    </row>
    <row r="32" spans="2:12" s="1" customFormat="1" ht="14.45" customHeight="1">
      <c r="B32" s="27"/>
      <c r="F32" s="30" t="s">
        <v>35</v>
      </c>
      <c r="I32" s="30" t="s">
        <v>34</v>
      </c>
      <c r="J32" s="30" t="s">
        <v>36</v>
      </c>
      <c r="L32" s="27"/>
    </row>
    <row r="33" spans="2:12" s="1" customFormat="1" ht="14.45" customHeight="1">
      <c r="B33" s="27"/>
      <c r="D33" s="50" t="s">
        <v>37</v>
      </c>
      <c r="E33" s="24" t="s">
        <v>38</v>
      </c>
      <c r="F33" s="86">
        <f>ROUND((SUM(BE123:BE218)),  2)</f>
        <v>0</v>
      </c>
      <c r="I33" s="87">
        <v>0.21</v>
      </c>
      <c r="J33" s="86">
        <f>ROUND(((SUM(BE123:BE218))*I33),  2)</f>
        <v>0</v>
      </c>
      <c r="L33" s="27"/>
    </row>
    <row r="34" spans="2:12" s="1" customFormat="1" ht="14.45" customHeight="1">
      <c r="B34" s="27"/>
      <c r="E34" s="24" t="s">
        <v>39</v>
      </c>
      <c r="F34" s="86">
        <f>ROUND((SUM(BF123:BF218)),  2)</f>
        <v>2688427.17</v>
      </c>
      <c r="I34" s="87">
        <v>0.15</v>
      </c>
      <c r="J34" s="86">
        <f>ROUND(((SUM(BF123:BF218))*I34),  2)</f>
        <v>403264.08</v>
      </c>
      <c r="L34" s="27"/>
    </row>
    <row r="35" spans="2:12" s="1" customFormat="1" ht="14.45" hidden="1" customHeight="1">
      <c r="B35" s="27"/>
      <c r="E35" s="24" t="s">
        <v>40</v>
      </c>
      <c r="F35" s="86">
        <f>ROUND((SUM(BG123:BG218)),  2)</f>
        <v>0</v>
      </c>
      <c r="I35" s="87">
        <v>0.21</v>
      </c>
      <c r="J35" s="86">
        <f>0</f>
        <v>0</v>
      </c>
      <c r="L35" s="27"/>
    </row>
    <row r="36" spans="2:12" s="1" customFormat="1" ht="14.45" hidden="1" customHeight="1">
      <c r="B36" s="27"/>
      <c r="E36" s="24" t="s">
        <v>41</v>
      </c>
      <c r="F36" s="86">
        <f>ROUND((SUM(BH123:BH218)),  2)</f>
        <v>0</v>
      </c>
      <c r="I36" s="87">
        <v>0.15</v>
      </c>
      <c r="J36" s="86">
        <f>0</f>
        <v>0</v>
      </c>
      <c r="L36" s="27"/>
    </row>
    <row r="37" spans="2:12" s="1" customFormat="1" ht="14.45" hidden="1" customHeight="1">
      <c r="B37" s="27"/>
      <c r="E37" s="24" t="s">
        <v>42</v>
      </c>
      <c r="F37" s="86">
        <f>ROUND((SUM(BI123:BI218)),  2)</f>
        <v>0</v>
      </c>
      <c r="I37" s="87">
        <v>0</v>
      </c>
      <c r="J37" s="86">
        <f>0</f>
        <v>0</v>
      </c>
      <c r="L37" s="27"/>
    </row>
    <row r="38" spans="2:12" s="1" customFormat="1" ht="6.95" customHeight="1">
      <c r="B38" s="27"/>
      <c r="L38" s="27"/>
    </row>
    <row r="39" spans="2:12" s="1" customFormat="1" ht="25.35" customHeight="1">
      <c r="B39" s="27"/>
      <c r="C39" s="88"/>
      <c r="D39" s="89" t="s">
        <v>43</v>
      </c>
      <c r="E39" s="52"/>
      <c r="F39" s="52"/>
      <c r="G39" s="90" t="s">
        <v>44</v>
      </c>
      <c r="H39" s="91" t="s">
        <v>45</v>
      </c>
      <c r="I39" s="52"/>
      <c r="J39" s="92">
        <f>SUM(J30:J37)</f>
        <v>3091691.25</v>
      </c>
      <c r="K39" s="93"/>
      <c r="L39" s="27"/>
    </row>
    <row r="40" spans="2:12" s="1" customFormat="1" ht="14.45" customHeight="1">
      <c r="B40" s="27"/>
      <c r="L40" s="27"/>
    </row>
    <row r="41" spans="2:12" ht="14.45" customHeight="1">
      <c r="B41" s="18"/>
      <c r="L41" s="18"/>
    </row>
    <row r="42" spans="2:12" ht="14.45" customHeight="1">
      <c r="B42" s="18"/>
      <c r="L42" s="18"/>
    </row>
    <row r="43" spans="2:12" ht="14.45" customHeight="1">
      <c r="B43" s="18"/>
      <c r="L43" s="18"/>
    </row>
    <row r="44" spans="2:12" ht="14.45" customHeight="1">
      <c r="B44" s="18"/>
      <c r="L44" s="18"/>
    </row>
    <row r="45" spans="2:12" ht="14.45" customHeight="1">
      <c r="B45" s="18"/>
      <c r="L45" s="18"/>
    </row>
    <row r="46" spans="2:12" ht="14.45" customHeight="1">
      <c r="B46" s="18"/>
      <c r="L46" s="18"/>
    </row>
    <row r="47" spans="2:12" ht="14.45" customHeight="1">
      <c r="B47" s="18"/>
      <c r="L47" s="18"/>
    </row>
    <row r="48" spans="2:12" ht="14.45" customHeight="1">
      <c r="B48" s="18"/>
      <c r="L48" s="18"/>
    </row>
    <row r="49" spans="2:12" ht="14.45" customHeight="1">
      <c r="B49" s="18"/>
      <c r="L49" s="18"/>
    </row>
    <row r="50" spans="2:12" s="1" customFormat="1" ht="14.45" customHeight="1">
      <c r="B50" s="27"/>
      <c r="D50" s="36" t="s">
        <v>46</v>
      </c>
      <c r="E50" s="37"/>
      <c r="F50" s="37"/>
      <c r="G50" s="36" t="s">
        <v>47</v>
      </c>
      <c r="H50" s="37"/>
      <c r="I50" s="37"/>
      <c r="J50" s="37"/>
      <c r="K50" s="37"/>
      <c r="L50" s="27"/>
    </row>
    <row r="51" spans="2:12">
      <c r="B51" s="18"/>
      <c r="L51" s="18"/>
    </row>
    <row r="52" spans="2:12">
      <c r="B52" s="18"/>
      <c r="L52" s="18"/>
    </row>
    <row r="53" spans="2:12">
      <c r="B53" s="18"/>
      <c r="L53" s="18"/>
    </row>
    <row r="54" spans="2:12">
      <c r="B54" s="18"/>
      <c r="L54" s="18"/>
    </row>
    <row r="55" spans="2:12">
      <c r="B55" s="18"/>
      <c r="L55" s="18"/>
    </row>
    <row r="56" spans="2:12">
      <c r="B56" s="18"/>
      <c r="L56" s="18"/>
    </row>
    <row r="57" spans="2:12">
      <c r="B57" s="18"/>
      <c r="L57" s="18"/>
    </row>
    <row r="58" spans="2:12">
      <c r="B58" s="18"/>
      <c r="L58" s="18"/>
    </row>
    <row r="59" spans="2:12">
      <c r="B59" s="18"/>
      <c r="L59" s="18"/>
    </row>
    <row r="60" spans="2:12">
      <c r="B60" s="18"/>
      <c r="L60" s="18"/>
    </row>
    <row r="61" spans="2:12" s="1" customFormat="1" ht="12.75">
      <c r="B61" s="27"/>
      <c r="D61" s="38" t="s">
        <v>48</v>
      </c>
      <c r="E61" s="29"/>
      <c r="F61" s="94" t="s">
        <v>49</v>
      </c>
      <c r="G61" s="38" t="s">
        <v>48</v>
      </c>
      <c r="H61" s="29"/>
      <c r="I61" s="29"/>
      <c r="J61" s="95" t="s">
        <v>49</v>
      </c>
      <c r="K61" s="29"/>
      <c r="L61" s="27"/>
    </row>
    <row r="62" spans="2:12">
      <c r="B62" s="18"/>
      <c r="L62" s="18"/>
    </row>
    <row r="63" spans="2:12">
      <c r="B63" s="18"/>
      <c r="L63" s="18"/>
    </row>
    <row r="64" spans="2:12">
      <c r="B64" s="18"/>
      <c r="L64" s="18"/>
    </row>
    <row r="65" spans="2:12" s="1" customFormat="1" ht="12.75">
      <c r="B65" s="27"/>
      <c r="D65" s="36" t="s">
        <v>50</v>
      </c>
      <c r="E65" s="37"/>
      <c r="F65" s="37"/>
      <c r="G65" s="36" t="s">
        <v>51</v>
      </c>
      <c r="H65" s="37"/>
      <c r="I65" s="37"/>
      <c r="J65" s="37"/>
      <c r="K65" s="37"/>
      <c r="L65" s="27"/>
    </row>
    <row r="66" spans="2:12">
      <c r="B66" s="18"/>
      <c r="L66" s="18"/>
    </row>
    <row r="67" spans="2:12">
      <c r="B67" s="18"/>
      <c r="L67" s="18"/>
    </row>
    <row r="68" spans="2:12">
      <c r="B68" s="18"/>
      <c r="L68" s="18"/>
    </row>
    <row r="69" spans="2:12">
      <c r="B69" s="18"/>
      <c r="L69" s="18"/>
    </row>
    <row r="70" spans="2:12">
      <c r="B70" s="18"/>
      <c r="L70" s="18"/>
    </row>
    <row r="71" spans="2:12">
      <c r="B71" s="18"/>
      <c r="L71" s="18"/>
    </row>
    <row r="72" spans="2:12">
      <c r="B72" s="18"/>
      <c r="L72" s="18"/>
    </row>
    <row r="73" spans="2:12">
      <c r="B73" s="18"/>
      <c r="L73" s="18"/>
    </row>
    <row r="74" spans="2:12">
      <c r="B74" s="18"/>
      <c r="L74" s="18"/>
    </row>
    <row r="75" spans="2:12">
      <c r="B75" s="18"/>
      <c r="L75" s="18"/>
    </row>
    <row r="76" spans="2:12" s="1" customFormat="1" ht="12.75">
      <c r="B76" s="27"/>
      <c r="D76" s="38" t="s">
        <v>48</v>
      </c>
      <c r="E76" s="29"/>
      <c r="F76" s="94" t="s">
        <v>49</v>
      </c>
      <c r="G76" s="38" t="s">
        <v>48</v>
      </c>
      <c r="H76" s="29"/>
      <c r="I76" s="29"/>
      <c r="J76" s="95" t="s">
        <v>49</v>
      </c>
      <c r="K76" s="29"/>
      <c r="L76" s="27"/>
    </row>
    <row r="77" spans="2:12" s="1" customFormat="1" ht="14.45" customHeight="1"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27"/>
    </row>
    <row r="81" spans="2:47" s="1" customFormat="1" ht="6.95" customHeight="1"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27"/>
    </row>
    <row r="82" spans="2:47" s="1" customFormat="1" ht="24.95" customHeight="1">
      <c r="B82" s="27"/>
      <c r="C82" s="19" t="s">
        <v>92</v>
      </c>
      <c r="L82" s="27"/>
    </row>
    <row r="83" spans="2:47" s="1" customFormat="1" ht="6.95" customHeight="1">
      <c r="B83" s="27"/>
      <c r="L83" s="27"/>
    </row>
    <row r="84" spans="2:47" s="1" customFormat="1" ht="12" customHeight="1">
      <c r="B84" s="27"/>
      <c r="C84" s="24" t="s">
        <v>14</v>
      </c>
      <c r="L84" s="27"/>
    </row>
    <row r="85" spans="2:47" s="1" customFormat="1" ht="26.25" customHeight="1">
      <c r="B85" s="27"/>
      <c r="E85" s="283" t="str">
        <f>E7</f>
        <v>Rozvoj komunitních sociálních služeb DOZP v lokalitě Jičín - aktualizace PD - změna PD 11/2022</v>
      </c>
      <c r="F85" s="284"/>
      <c r="G85" s="284"/>
      <c r="H85" s="284"/>
      <c r="L85" s="27"/>
    </row>
    <row r="86" spans="2:47" s="1" customFormat="1" ht="12" customHeight="1">
      <c r="B86" s="27"/>
      <c r="C86" s="24" t="s">
        <v>90</v>
      </c>
      <c r="L86" s="27"/>
    </row>
    <row r="87" spans="2:47" s="1" customFormat="1" ht="16.5" customHeight="1">
      <c r="B87" s="27"/>
      <c r="E87" s="270" t="str">
        <f>E9</f>
        <v>Objekt A - a - Vytápění</v>
      </c>
      <c r="F87" s="285"/>
      <c r="G87" s="285"/>
      <c r="H87" s="285"/>
      <c r="L87" s="27"/>
    </row>
    <row r="88" spans="2:47" s="1" customFormat="1" ht="6.95" customHeight="1">
      <c r="B88" s="27"/>
      <c r="L88" s="27"/>
    </row>
    <row r="89" spans="2:47" s="1" customFormat="1" ht="12" customHeight="1">
      <c r="B89" s="27"/>
      <c r="C89" s="24" t="s">
        <v>18</v>
      </c>
      <c r="F89" s="22" t="str">
        <f>F12</f>
        <v>Jičín</v>
      </c>
      <c r="I89" s="24" t="s">
        <v>20</v>
      </c>
      <c r="J89" s="47" t="str">
        <f>IF(J12="","",J12)</f>
        <v>15. 3. 2022</v>
      </c>
      <c r="L89" s="27"/>
    </row>
    <row r="90" spans="2:47" s="1" customFormat="1" ht="6.95" customHeight="1">
      <c r="B90" s="27"/>
      <c r="L90" s="27"/>
    </row>
    <row r="91" spans="2:47" s="1" customFormat="1" ht="15.2" customHeight="1">
      <c r="B91" s="27"/>
      <c r="C91" s="24" t="s">
        <v>21</v>
      </c>
      <c r="F91" s="22" t="str">
        <f>E15</f>
        <v xml:space="preserve"> </v>
      </c>
      <c r="I91" s="24" t="s">
        <v>27</v>
      </c>
      <c r="J91" s="25" t="str">
        <f>E21</f>
        <v xml:space="preserve"> </v>
      </c>
      <c r="L91" s="27"/>
    </row>
    <row r="92" spans="2:47" s="1" customFormat="1" ht="15.2" customHeight="1">
      <c r="B92" s="27"/>
      <c r="C92" s="24" t="s">
        <v>25</v>
      </c>
      <c r="F92" s="22" t="str">
        <f>IF(E18="","",E18)</f>
        <v xml:space="preserve"> </v>
      </c>
      <c r="I92" s="24" t="s">
        <v>30</v>
      </c>
      <c r="J92" s="25" t="str">
        <f>E24</f>
        <v xml:space="preserve"> </v>
      </c>
      <c r="L92" s="27"/>
    </row>
    <row r="93" spans="2:47" s="1" customFormat="1" ht="10.35" customHeight="1">
      <c r="B93" s="27"/>
      <c r="L93" s="27"/>
    </row>
    <row r="94" spans="2:47" s="1" customFormat="1" ht="29.25" customHeight="1">
      <c r="B94" s="27"/>
      <c r="C94" s="96" t="s">
        <v>93</v>
      </c>
      <c r="D94" s="88"/>
      <c r="E94" s="88"/>
      <c r="F94" s="88"/>
      <c r="G94" s="88"/>
      <c r="H94" s="88"/>
      <c r="I94" s="88"/>
      <c r="J94" s="97" t="s">
        <v>94</v>
      </c>
      <c r="K94" s="88"/>
      <c r="L94" s="27"/>
    </row>
    <row r="95" spans="2:47" s="1" customFormat="1" ht="10.35" customHeight="1">
      <c r="B95" s="27"/>
      <c r="L95" s="27"/>
    </row>
    <row r="96" spans="2:47" s="1" customFormat="1" ht="22.9" customHeight="1">
      <c r="B96" s="27"/>
      <c r="C96" s="98" t="s">
        <v>95</v>
      </c>
      <c r="J96" s="61">
        <f>J123</f>
        <v>2688427.17</v>
      </c>
      <c r="L96" s="27"/>
      <c r="AU96" s="15" t="s">
        <v>96</v>
      </c>
    </row>
    <row r="97" spans="2:12" s="8" customFormat="1" ht="24.95" customHeight="1">
      <c r="B97" s="99"/>
      <c r="D97" s="100" t="s">
        <v>105</v>
      </c>
      <c r="E97" s="101"/>
      <c r="F97" s="101"/>
      <c r="G97" s="101"/>
      <c r="H97" s="101"/>
      <c r="I97" s="101"/>
      <c r="J97" s="102">
        <f>J124</f>
        <v>2672407.17</v>
      </c>
      <c r="L97" s="99"/>
    </row>
    <row r="98" spans="2:12" s="9" customFormat="1" ht="19.899999999999999" customHeight="1">
      <c r="B98" s="103"/>
      <c r="D98" s="104" t="s">
        <v>1513</v>
      </c>
      <c r="E98" s="105"/>
      <c r="F98" s="105"/>
      <c r="G98" s="105"/>
      <c r="H98" s="105"/>
      <c r="I98" s="105"/>
      <c r="J98" s="106">
        <f>J125</f>
        <v>28459.84</v>
      </c>
      <c r="L98" s="103"/>
    </row>
    <row r="99" spans="2:12" s="9" customFormat="1" ht="19.899999999999999" customHeight="1">
      <c r="B99" s="103"/>
      <c r="D99" s="104" t="s">
        <v>1512</v>
      </c>
      <c r="E99" s="105"/>
      <c r="F99" s="105"/>
      <c r="G99" s="105"/>
      <c r="H99" s="105"/>
      <c r="I99" s="105"/>
      <c r="J99" s="106">
        <f>J128</f>
        <v>808444.2</v>
      </c>
      <c r="L99" s="103"/>
    </row>
    <row r="100" spans="2:12" s="9" customFormat="1" ht="19.899999999999999" customHeight="1">
      <c r="B100" s="103"/>
      <c r="D100" s="104" t="s">
        <v>1511</v>
      </c>
      <c r="E100" s="105"/>
      <c r="F100" s="105"/>
      <c r="G100" s="105"/>
      <c r="H100" s="105"/>
      <c r="I100" s="105"/>
      <c r="J100" s="106">
        <f>J148</f>
        <v>365980.3</v>
      </c>
      <c r="L100" s="103"/>
    </row>
    <row r="101" spans="2:12" s="9" customFormat="1" ht="19.899999999999999" customHeight="1">
      <c r="B101" s="103"/>
      <c r="D101" s="104" t="s">
        <v>1510</v>
      </c>
      <c r="E101" s="105"/>
      <c r="F101" s="105"/>
      <c r="G101" s="105"/>
      <c r="H101" s="105"/>
      <c r="I101" s="105"/>
      <c r="J101" s="106">
        <f>J165</f>
        <v>59389.75</v>
      </c>
      <c r="L101" s="103"/>
    </row>
    <row r="102" spans="2:12" s="9" customFormat="1" ht="19.899999999999999" customHeight="1">
      <c r="B102" s="103"/>
      <c r="D102" s="104" t="s">
        <v>1509</v>
      </c>
      <c r="E102" s="105"/>
      <c r="F102" s="105"/>
      <c r="G102" s="105"/>
      <c r="H102" s="105"/>
      <c r="I102" s="105"/>
      <c r="J102" s="106">
        <f>J187</f>
        <v>1410133.08</v>
      </c>
      <c r="L102" s="103"/>
    </row>
    <row r="103" spans="2:12" s="8" customFormat="1" ht="24.95" customHeight="1">
      <c r="B103" s="99"/>
      <c r="D103" s="100" t="s">
        <v>1508</v>
      </c>
      <c r="E103" s="101"/>
      <c r="F103" s="101"/>
      <c r="G103" s="101"/>
      <c r="H103" s="101"/>
      <c r="I103" s="101"/>
      <c r="J103" s="102">
        <f>J217</f>
        <v>16020</v>
      </c>
      <c r="L103" s="99"/>
    </row>
    <row r="104" spans="2:12" s="1" customFormat="1" ht="21.75" customHeight="1">
      <c r="B104" s="27"/>
      <c r="L104" s="27"/>
    </row>
    <row r="105" spans="2:12" s="1" customFormat="1" ht="6.95" customHeight="1">
      <c r="B105" s="39"/>
      <c r="C105" s="40"/>
      <c r="D105" s="40"/>
      <c r="E105" s="40"/>
      <c r="F105" s="40"/>
      <c r="G105" s="40"/>
      <c r="H105" s="40"/>
      <c r="I105" s="40"/>
      <c r="J105" s="40"/>
      <c r="K105" s="40"/>
      <c r="L105" s="27"/>
    </row>
    <row r="109" spans="2:12" s="1" customFormat="1" ht="6.95" customHeight="1">
      <c r="B109" s="41"/>
      <c r="C109" s="42"/>
      <c r="D109" s="42"/>
      <c r="E109" s="42"/>
      <c r="F109" s="42"/>
      <c r="G109" s="42"/>
      <c r="H109" s="42"/>
      <c r="I109" s="42"/>
      <c r="J109" s="42"/>
      <c r="K109" s="42"/>
      <c r="L109" s="27"/>
    </row>
    <row r="110" spans="2:12" s="1" customFormat="1" ht="24.95" customHeight="1">
      <c r="B110" s="27"/>
      <c r="C110" s="19" t="s">
        <v>126</v>
      </c>
      <c r="L110" s="27"/>
    </row>
    <row r="111" spans="2:12" s="1" customFormat="1" ht="6.95" customHeight="1">
      <c r="B111" s="27"/>
      <c r="L111" s="27"/>
    </row>
    <row r="112" spans="2:12" s="1" customFormat="1" ht="12" customHeight="1">
      <c r="B112" s="27"/>
      <c r="C112" s="24" t="s">
        <v>14</v>
      </c>
      <c r="L112" s="27"/>
    </row>
    <row r="113" spans="2:65" s="1" customFormat="1" ht="26.25" customHeight="1">
      <c r="B113" s="27"/>
      <c r="E113" s="283" t="str">
        <f>E7</f>
        <v>Rozvoj komunitních sociálních služeb DOZP v lokalitě Jičín - aktualizace PD - změna PD 11/2022</v>
      </c>
      <c r="F113" s="284"/>
      <c r="G113" s="284"/>
      <c r="H113" s="284"/>
      <c r="L113" s="27"/>
    </row>
    <row r="114" spans="2:65" s="1" customFormat="1" ht="12" customHeight="1">
      <c r="B114" s="27"/>
      <c r="C114" s="24" t="s">
        <v>90</v>
      </c>
      <c r="L114" s="27"/>
    </row>
    <row r="115" spans="2:65" s="1" customFormat="1" ht="16.5" customHeight="1">
      <c r="B115" s="27"/>
      <c r="E115" s="270" t="str">
        <f>E9</f>
        <v>Objekt A - a - Vytápění</v>
      </c>
      <c r="F115" s="285"/>
      <c r="G115" s="285"/>
      <c r="H115" s="285"/>
      <c r="L115" s="27"/>
    </row>
    <row r="116" spans="2:65" s="1" customFormat="1" ht="6.95" customHeight="1">
      <c r="B116" s="27"/>
      <c r="L116" s="27"/>
    </row>
    <row r="117" spans="2:65" s="1" customFormat="1" ht="12" customHeight="1">
      <c r="B117" s="27"/>
      <c r="C117" s="24" t="s">
        <v>18</v>
      </c>
      <c r="F117" s="22" t="str">
        <f>F12</f>
        <v>Jičín</v>
      </c>
      <c r="I117" s="24" t="s">
        <v>20</v>
      </c>
      <c r="J117" s="47" t="str">
        <f>IF(J12="","",J12)</f>
        <v>15. 3. 2022</v>
      </c>
      <c r="L117" s="27"/>
    </row>
    <row r="118" spans="2:65" s="1" customFormat="1" ht="6.95" customHeight="1">
      <c r="B118" s="27"/>
      <c r="L118" s="27"/>
    </row>
    <row r="119" spans="2:65" s="1" customFormat="1" ht="15.2" customHeight="1">
      <c r="B119" s="27"/>
      <c r="C119" s="24" t="s">
        <v>21</v>
      </c>
      <c r="F119" s="22" t="str">
        <f>E15</f>
        <v xml:space="preserve"> </v>
      </c>
      <c r="I119" s="24" t="s">
        <v>27</v>
      </c>
      <c r="J119" s="25" t="str">
        <f>E21</f>
        <v xml:space="preserve"> </v>
      </c>
      <c r="L119" s="27"/>
    </row>
    <row r="120" spans="2:65" s="1" customFormat="1" ht="15.2" customHeight="1">
      <c r="B120" s="27"/>
      <c r="C120" s="24" t="s">
        <v>25</v>
      </c>
      <c r="F120" s="22" t="str">
        <f>IF(E18="","",E18)</f>
        <v xml:space="preserve"> </v>
      </c>
      <c r="I120" s="24" t="s">
        <v>30</v>
      </c>
      <c r="J120" s="25" t="str">
        <f>E24</f>
        <v xml:space="preserve"> </v>
      </c>
      <c r="L120" s="27"/>
    </row>
    <row r="121" spans="2:65" s="1" customFormat="1" ht="10.35" customHeight="1">
      <c r="B121" s="27"/>
      <c r="L121" s="27"/>
    </row>
    <row r="122" spans="2:65" s="10" customFormat="1" ht="29.25" customHeight="1">
      <c r="B122" s="107"/>
      <c r="C122" s="108" t="s">
        <v>127</v>
      </c>
      <c r="D122" s="109" t="s">
        <v>58</v>
      </c>
      <c r="E122" s="109" t="s">
        <v>54</v>
      </c>
      <c r="F122" s="109" t="s">
        <v>55</v>
      </c>
      <c r="G122" s="109" t="s">
        <v>128</v>
      </c>
      <c r="H122" s="109" t="s">
        <v>129</v>
      </c>
      <c r="I122" s="109" t="s">
        <v>130</v>
      </c>
      <c r="J122" s="109" t="s">
        <v>94</v>
      </c>
      <c r="K122" s="110" t="s">
        <v>131</v>
      </c>
      <c r="L122" s="107"/>
      <c r="M122" s="54" t="s">
        <v>1</v>
      </c>
      <c r="N122" s="55" t="s">
        <v>37</v>
      </c>
      <c r="O122" s="55" t="s">
        <v>132</v>
      </c>
      <c r="P122" s="55" t="s">
        <v>133</v>
      </c>
      <c r="Q122" s="55" t="s">
        <v>134</v>
      </c>
      <c r="R122" s="55" t="s">
        <v>135</v>
      </c>
      <c r="S122" s="55" t="s">
        <v>136</v>
      </c>
      <c r="T122" s="56" t="s">
        <v>137</v>
      </c>
    </row>
    <row r="123" spans="2:65" s="1" customFormat="1" ht="22.9" customHeight="1">
      <c r="B123" s="27"/>
      <c r="C123" s="59" t="s">
        <v>138</v>
      </c>
      <c r="J123" s="111">
        <f>BK123</f>
        <v>2688427.17</v>
      </c>
      <c r="L123" s="27"/>
      <c r="M123" s="57"/>
      <c r="N123" s="48"/>
      <c r="O123" s="48"/>
      <c r="P123" s="112">
        <f>P124+P217</f>
        <v>784.83565800000008</v>
      </c>
      <c r="Q123" s="48"/>
      <c r="R123" s="112">
        <f>R124+R217</f>
        <v>4.8304299999999998</v>
      </c>
      <c r="S123" s="48"/>
      <c r="T123" s="113">
        <f>T124+T217</f>
        <v>0</v>
      </c>
      <c r="AT123" s="15" t="s">
        <v>72</v>
      </c>
      <c r="AU123" s="15" t="s">
        <v>96</v>
      </c>
      <c r="BK123" s="114">
        <f>BK124+BK217</f>
        <v>2688427.17</v>
      </c>
    </row>
    <row r="124" spans="2:65" s="11" customFormat="1" ht="25.9" customHeight="1">
      <c r="B124" s="115"/>
      <c r="D124" s="116" t="s">
        <v>72</v>
      </c>
      <c r="E124" s="117" t="s">
        <v>516</v>
      </c>
      <c r="F124" s="117" t="s">
        <v>517</v>
      </c>
      <c r="J124" s="118">
        <f>BK124</f>
        <v>2672407.17</v>
      </c>
      <c r="L124" s="115"/>
      <c r="M124" s="119"/>
      <c r="P124" s="120">
        <f>P125+P128+P148+P165+P187</f>
        <v>754.83565800000008</v>
      </c>
      <c r="R124" s="120">
        <f>R125+R128+R148+R165+R187</f>
        <v>4.8304299999999998</v>
      </c>
      <c r="T124" s="121">
        <f>T125+T128+T148+T165+T187</f>
        <v>0</v>
      </c>
      <c r="AR124" s="116" t="s">
        <v>143</v>
      </c>
      <c r="AT124" s="122" t="s">
        <v>72</v>
      </c>
      <c r="AU124" s="122" t="s">
        <v>73</v>
      </c>
      <c r="AY124" s="116" t="s">
        <v>141</v>
      </c>
      <c r="BK124" s="123">
        <f>BK125+BK128+BK148+BK165+BK187</f>
        <v>2672407.17</v>
      </c>
    </row>
    <row r="125" spans="2:65" s="11" customFormat="1" ht="22.9" customHeight="1">
      <c r="B125" s="115"/>
      <c r="D125" s="116" t="s">
        <v>72</v>
      </c>
      <c r="E125" s="124" t="s">
        <v>735</v>
      </c>
      <c r="F125" s="124" t="s">
        <v>1507</v>
      </c>
      <c r="J125" s="125">
        <f>BK125</f>
        <v>28459.84</v>
      </c>
      <c r="L125" s="115"/>
      <c r="M125" s="119"/>
      <c r="P125" s="120">
        <f>SUM(P126:P127)</f>
        <v>3.966952</v>
      </c>
      <c r="R125" s="120">
        <f>SUM(R126:R127)</f>
        <v>3.5839999999999997E-2</v>
      </c>
      <c r="T125" s="121">
        <f>SUM(T126:T127)</f>
        <v>0</v>
      </c>
      <c r="AR125" s="116" t="s">
        <v>143</v>
      </c>
      <c r="AT125" s="122" t="s">
        <v>72</v>
      </c>
      <c r="AU125" s="122" t="s">
        <v>81</v>
      </c>
      <c r="AY125" s="116" t="s">
        <v>141</v>
      </c>
      <c r="BK125" s="123">
        <f>SUM(BK126:BK127)</f>
        <v>28459.84</v>
      </c>
    </row>
    <row r="126" spans="2:65" s="1" customFormat="1" ht="24.2" customHeight="1">
      <c r="B126" s="126"/>
      <c r="C126" s="127" t="s">
        <v>81</v>
      </c>
      <c r="D126" s="127" t="s">
        <v>144</v>
      </c>
      <c r="E126" s="128" t="s">
        <v>1506</v>
      </c>
      <c r="F126" s="129" t="s">
        <v>1505</v>
      </c>
      <c r="G126" s="130" t="s">
        <v>1111</v>
      </c>
      <c r="H126" s="131">
        <v>1</v>
      </c>
      <c r="I126" s="132">
        <v>28300</v>
      </c>
      <c r="J126" s="132">
        <f>ROUND(I126*H126,2)</f>
        <v>28300</v>
      </c>
      <c r="K126" s="129" t="s">
        <v>148</v>
      </c>
      <c r="L126" s="27"/>
      <c r="M126" s="133" t="s">
        <v>1</v>
      </c>
      <c r="N126" s="134" t="s">
        <v>39</v>
      </c>
      <c r="O126" s="135">
        <v>3.5859999999999999</v>
      </c>
      <c r="P126" s="135">
        <f>O126*H126</f>
        <v>3.5859999999999999</v>
      </c>
      <c r="Q126" s="135">
        <v>3.5839999999999997E-2</v>
      </c>
      <c r="R126" s="135">
        <f>Q126*H126</f>
        <v>3.5839999999999997E-2</v>
      </c>
      <c r="S126" s="135">
        <v>0</v>
      </c>
      <c r="T126" s="136">
        <f>S126*H126</f>
        <v>0</v>
      </c>
      <c r="AR126" s="137" t="s">
        <v>206</v>
      </c>
      <c r="AT126" s="137" t="s">
        <v>144</v>
      </c>
      <c r="AU126" s="137" t="s">
        <v>143</v>
      </c>
      <c r="AY126" s="15" t="s">
        <v>141</v>
      </c>
      <c r="BE126" s="138">
        <f>IF(N126="základní",J126,0)</f>
        <v>0</v>
      </c>
      <c r="BF126" s="138">
        <f>IF(N126="snížená",J126,0)</f>
        <v>28300</v>
      </c>
      <c r="BG126" s="138">
        <f>IF(N126="zákl. přenesená",J126,0)</f>
        <v>0</v>
      </c>
      <c r="BH126" s="138">
        <f>IF(N126="sníž. přenesená",J126,0)</f>
        <v>0</v>
      </c>
      <c r="BI126" s="138">
        <f>IF(N126="nulová",J126,0)</f>
        <v>0</v>
      </c>
      <c r="BJ126" s="15" t="s">
        <v>143</v>
      </c>
      <c r="BK126" s="138">
        <f>ROUND(I126*H126,2)</f>
        <v>28300</v>
      </c>
      <c r="BL126" s="15" t="s">
        <v>206</v>
      </c>
      <c r="BM126" s="137" t="s">
        <v>1504</v>
      </c>
    </row>
    <row r="127" spans="2:65" s="1" customFormat="1" ht="37.9" customHeight="1">
      <c r="B127" s="126"/>
      <c r="C127" s="127" t="s">
        <v>143</v>
      </c>
      <c r="D127" s="127" t="s">
        <v>144</v>
      </c>
      <c r="E127" s="128" t="s">
        <v>1503</v>
      </c>
      <c r="F127" s="129" t="s">
        <v>1502</v>
      </c>
      <c r="G127" s="130" t="s">
        <v>179</v>
      </c>
      <c r="H127" s="131">
        <v>3.5999999999999997E-2</v>
      </c>
      <c r="I127" s="132">
        <v>4440</v>
      </c>
      <c r="J127" s="132">
        <f>ROUND(I127*H127,2)</f>
        <v>159.84</v>
      </c>
      <c r="K127" s="129" t="s">
        <v>148</v>
      </c>
      <c r="L127" s="27"/>
      <c r="M127" s="133" t="s">
        <v>1</v>
      </c>
      <c r="N127" s="134" t="s">
        <v>39</v>
      </c>
      <c r="O127" s="135">
        <v>10.582000000000001</v>
      </c>
      <c r="P127" s="135">
        <f>O127*H127</f>
        <v>0.38095200000000001</v>
      </c>
      <c r="Q127" s="135">
        <v>0</v>
      </c>
      <c r="R127" s="135">
        <f>Q127*H127</f>
        <v>0</v>
      </c>
      <c r="S127" s="135">
        <v>0</v>
      </c>
      <c r="T127" s="136">
        <f>S127*H127</f>
        <v>0</v>
      </c>
      <c r="AR127" s="137" t="s">
        <v>206</v>
      </c>
      <c r="AT127" s="137" t="s">
        <v>144</v>
      </c>
      <c r="AU127" s="137" t="s">
        <v>143</v>
      </c>
      <c r="AY127" s="15" t="s">
        <v>141</v>
      </c>
      <c r="BE127" s="138">
        <f>IF(N127="základní",J127,0)</f>
        <v>0</v>
      </c>
      <c r="BF127" s="138">
        <f>IF(N127="snížená",J127,0)</f>
        <v>159.84</v>
      </c>
      <c r="BG127" s="138">
        <f>IF(N127="zákl. přenesená",J127,0)</f>
        <v>0</v>
      </c>
      <c r="BH127" s="138">
        <f>IF(N127="sníž. přenesená",J127,0)</f>
        <v>0</v>
      </c>
      <c r="BI127" s="138">
        <f>IF(N127="nulová",J127,0)</f>
        <v>0</v>
      </c>
      <c r="BJ127" s="15" t="s">
        <v>143</v>
      </c>
      <c r="BK127" s="138">
        <f>ROUND(I127*H127,2)</f>
        <v>159.84</v>
      </c>
      <c r="BL127" s="15" t="s">
        <v>206</v>
      </c>
      <c r="BM127" s="137" t="s">
        <v>1501</v>
      </c>
    </row>
    <row r="128" spans="2:65" s="11" customFormat="1" ht="22.9" customHeight="1">
      <c r="B128" s="115"/>
      <c r="D128" s="116" t="s">
        <v>72</v>
      </c>
      <c r="E128" s="124" t="s">
        <v>1500</v>
      </c>
      <c r="F128" s="124" t="s">
        <v>1499</v>
      </c>
      <c r="J128" s="125">
        <f>BK128</f>
        <v>808444.2</v>
      </c>
      <c r="L128" s="115"/>
      <c r="M128" s="119"/>
      <c r="P128" s="120">
        <f>SUM(P129:P147)</f>
        <v>29.772323999999998</v>
      </c>
      <c r="R128" s="120">
        <f>SUM(R129:R147)</f>
        <v>0.86806000000000005</v>
      </c>
      <c r="T128" s="121">
        <f>SUM(T129:T147)</f>
        <v>0</v>
      </c>
      <c r="AR128" s="116" t="s">
        <v>143</v>
      </c>
      <c r="AT128" s="122" t="s">
        <v>72</v>
      </c>
      <c r="AU128" s="122" t="s">
        <v>81</v>
      </c>
      <c r="AY128" s="116" t="s">
        <v>141</v>
      </c>
      <c r="BK128" s="123">
        <f>SUM(BK129:BK147)</f>
        <v>808444.2</v>
      </c>
    </row>
    <row r="129" spans="2:65" s="1" customFormat="1" ht="24.2" customHeight="1">
      <c r="B129" s="126"/>
      <c r="C129" s="127" t="s">
        <v>151</v>
      </c>
      <c r="D129" s="127" t="s">
        <v>144</v>
      </c>
      <c r="E129" s="128" t="s">
        <v>1498</v>
      </c>
      <c r="F129" s="129" t="s">
        <v>1497</v>
      </c>
      <c r="G129" s="130" t="s">
        <v>1478</v>
      </c>
      <c r="H129" s="131">
        <v>1</v>
      </c>
      <c r="I129" s="132">
        <v>73500</v>
      </c>
      <c r="J129" s="132">
        <f t="shared" ref="J129:J147" si="0">ROUND(I129*H129,2)</f>
        <v>73500</v>
      </c>
      <c r="K129" s="129" t="s">
        <v>1</v>
      </c>
      <c r="L129" s="27"/>
      <c r="M129" s="133" t="s">
        <v>1</v>
      </c>
      <c r="N129" s="134" t="s">
        <v>39</v>
      </c>
      <c r="O129" s="135">
        <v>0</v>
      </c>
      <c r="P129" s="135">
        <f t="shared" ref="P129:P147" si="1">O129*H129</f>
        <v>0</v>
      </c>
      <c r="Q129" s="135">
        <v>5.0000000000000001E-3</v>
      </c>
      <c r="R129" s="135">
        <f t="shared" ref="R129:R147" si="2">Q129*H129</f>
        <v>5.0000000000000001E-3</v>
      </c>
      <c r="S129" s="135">
        <v>0</v>
      </c>
      <c r="T129" s="136">
        <f t="shared" ref="T129:T147" si="3">S129*H129</f>
        <v>0</v>
      </c>
      <c r="AR129" s="137" t="s">
        <v>206</v>
      </c>
      <c r="AT129" s="137" t="s">
        <v>144</v>
      </c>
      <c r="AU129" s="137" t="s">
        <v>143</v>
      </c>
      <c r="AY129" s="15" t="s">
        <v>141</v>
      </c>
      <c r="BE129" s="138">
        <f t="shared" ref="BE129:BE147" si="4">IF(N129="základní",J129,0)</f>
        <v>0</v>
      </c>
      <c r="BF129" s="138">
        <f t="shared" ref="BF129:BF147" si="5">IF(N129="snížená",J129,0)</f>
        <v>73500</v>
      </c>
      <c r="BG129" s="138">
        <f t="shared" ref="BG129:BG147" si="6">IF(N129="zákl. přenesená",J129,0)</f>
        <v>0</v>
      </c>
      <c r="BH129" s="138">
        <f t="shared" ref="BH129:BH147" si="7">IF(N129="sníž. přenesená",J129,0)</f>
        <v>0</v>
      </c>
      <c r="BI129" s="138">
        <f t="shared" ref="BI129:BI147" si="8">IF(N129="nulová",J129,0)</f>
        <v>0</v>
      </c>
      <c r="BJ129" s="15" t="s">
        <v>143</v>
      </c>
      <c r="BK129" s="138">
        <f t="shared" ref="BK129:BK147" si="9">ROUND(I129*H129,2)</f>
        <v>73500</v>
      </c>
      <c r="BL129" s="15" t="s">
        <v>206</v>
      </c>
      <c r="BM129" s="137" t="s">
        <v>1496</v>
      </c>
    </row>
    <row r="130" spans="2:65" s="1" customFormat="1" ht="37.9" customHeight="1">
      <c r="B130" s="126"/>
      <c r="C130" s="127" t="s">
        <v>149</v>
      </c>
      <c r="D130" s="127" t="s">
        <v>144</v>
      </c>
      <c r="E130" s="128" t="s">
        <v>1495</v>
      </c>
      <c r="F130" s="129" t="s">
        <v>1494</v>
      </c>
      <c r="G130" s="130" t="s">
        <v>1478</v>
      </c>
      <c r="H130" s="131">
        <v>1</v>
      </c>
      <c r="I130" s="132">
        <v>73900</v>
      </c>
      <c r="J130" s="132">
        <f t="shared" si="0"/>
        <v>73900</v>
      </c>
      <c r="K130" s="129" t="s">
        <v>1</v>
      </c>
      <c r="L130" s="27"/>
      <c r="M130" s="133" t="s">
        <v>1</v>
      </c>
      <c r="N130" s="134" t="s">
        <v>39</v>
      </c>
      <c r="O130" s="135">
        <v>0</v>
      </c>
      <c r="P130" s="135">
        <f t="shared" si="1"/>
        <v>0</v>
      </c>
      <c r="Q130" s="135">
        <v>5.0000000000000001E-3</v>
      </c>
      <c r="R130" s="135">
        <f t="shared" si="2"/>
        <v>5.0000000000000001E-3</v>
      </c>
      <c r="S130" s="135">
        <v>0</v>
      </c>
      <c r="T130" s="136">
        <f t="shared" si="3"/>
        <v>0</v>
      </c>
      <c r="AR130" s="137" t="s">
        <v>206</v>
      </c>
      <c r="AT130" s="137" t="s">
        <v>144</v>
      </c>
      <c r="AU130" s="137" t="s">
        <v>143</v>
      </c>
      <c r="AY130" s="15" t="s">
        <v>141</v>
      </c>
      <c r="BE130" s="138">
        <f t="shared" si="4"/>
        <v>0</v>
      </c>
      <c r="BF130" s="138">
        <f t="shared" si="5"/>
        <v>73900</v>
      </c>
      <c r="BG130" s="138">
        <f t="shared" si="6"/>
        <v>0</v>
      </c>
      <c r="BH130" s="138">
        <f t="shared" si="7"/>
        <v>0</v>
      </c>
      <c r="BI130" s="138">
        <f t="shared" si="8"/>
        <v>0</v>
      </c>
      <c r="BJ130" s="15" t="s">
        <v>143</v>
      </c>
      <c r="BK130" s="138">
        <f t="shared" si="9"/>
        <v>73900</v>
      </c>
      <c r="BL130" s="15" t="s">
        <v>206</v>
      </c>
      <c r="BM130" s="137" t="s">
        <v>1493</v>
      </c>
    </row>
    <row r="131" spans="2:65" s="1" customFormat="1" ht="24.2" customHeight="1">
      <c r="B131" s="126"/>
      <c r="C131" s="127" t="s">
        <v>159</v>
      </c>
      <c r="D131" s="127" t="s">
        <v>144</v>
      </c>
      <c r="E131" s="128" t="s">
        <v>1492</v>
      </c>
      <c r="F131" s="129" t="s">
        <v>1491</v>
      </c>
      <c r="G131" s="130" t="s">
        <v>1478</v>
      </c>
      <c r="H131" s="131">
        <v>1</v>
      </c>
      <c r="I131" s="132">
        <v>19990</v>
      </c>
      <c r="J131" s="132">
        <f t="shared" si="0"/>
        <v>19990</v>
      </c>
      <c r="K131" s="129" t="s">
        <v>1</v>
      </c>
      <c r="L131" s="27"/>
      <c r="M131" s="133" t="s">
        <v>1</v>
      </c>
      <c r="N131" s="134" t="s">
        <v>39</v>
      </c>
      <c r="O131" s="135">
        <v>0</v>
      </c>
      <c r="P131" s="135">
        <f t="shared" si="1"/>
        <v>0</v>
      </c>
      <c r="Q131" s="135">
        <v>5.0000000000000001E-3</v>
      </c>
      <c r="R131" s="135">
        <f t="shared" si="2"/>
        <v>5.0000000000000001E-3</v>
      </c>
      <c r="S131" s="135">
        <v>0</v>
      </c>
      <c r="T131" s="136">
        <f t="shared" si="3"/>
        <v>0</v>
      </c>
      <c r="AR131" s="137" t="s">
        <v>206</v>
      </c>
      <c r="AT131" s="137" t="s">
        <v>144</v>
      </c>
      <c r="AU131" s="137" t="s">
        <v>143</v>
      </c>
      <c r="AY131" s="15" t="s">
        <v>141</v>
      </c>
      <c r="BE131" s="138">
        <f t="shared" si="4"/>
        <v>0</v>
      </c>
      <c r="BF131" s="138">
        <f t="shared" si="5"/>
        <v>19990</v>
      </c>
      <c r="BG131" s="138">
        <f t="shared" si="6"/>
        <v>0</v>
      </c>
      <c r="BH131" s="138">
        <f t="shared" si="7"/>
        <v>0</v>
      </c>
      <c r="BI131" s="138">
        <f t="shared" si="8"/>
        <v>0</v>
      </c>
      <c r="BJ131" s="15" t="s">
        <v>143</v>
      </c>
      <c r="BK131" s="138">
        <f t="shared" si="9"/>
        <v>19990</v>
      </c>
      <c r="BL131" s="15" t="s">
        <v>206</v>
      </c>
      <c r="BM131" s="137" t="s">
        <v>1490</v>
      </c>
    </row>
    <row r="132" spans="2:65" s="1" customFormat="1" ht="16.5" customHeight="1">
      <c r="B132" s="126"/>
      <c r="C132" s="127" t="s">
        <v>164</v>
      </c>
      <c r="D132" s="127" t="s">
        <v>144</v>
      </c>
      <c r="E132" s="128" t="s">
        <v>1489</v>
      </c>
      <c r="F132" s="129" t="s">
        <v>1488</v>
      </c>
      <c r="G132" s="130" t="s">
        <v>1478</v>
      </c>
      <c r="H132" s="131">
        <v>1</v>
      </c>
      <c r="I132" s="132">
        <v>3000</v>
      </c>
      <c r="J132" s="132">
        <f t="shared" si="0"/>
        <v>3000</v>
      </c>
      <c r="K132" s="129" t="s">
        <v>1</v>
      </c>
      <c r="L132" s="27"/>
      <c r="M132" s="133" t="s">
        <v>1</v>
      </c>
      <c r="N132" s="134" t="s">
        <v>39</v>
      </c>
      <c r="O132" s="135">
        <v>0</v>
      </c>
      <c r="P132" s="135">
        <f t="shared" si="1"/>
        <v>0</v>
      </c>
      <c r="Q132" s="135">
        <v>5.0000000000000001E-3</v>
      </c>
      <c r="R132" s="135">
        <f t="shared" si="2"/>
        <v>5.0000000000000001E-3</v>
      </c>
      <c r="S132" s="135">
        <v>0</v>
      </c>
      <c r="T132" s="136">
        <f t="shared" si="3"/>
        <v>0</v>
      </c>
      <c r="AR132" s="137" t="s">
        <v>206</v>
      </c>
      <c r="AT132" s="137" t="s">
        <v>144</v>
      </c>
      <c r="AU132" s="137" t="s">
        <v>143</v>
      </c>
      <c r="AY132" s="15" t="s">
        <v>141</v>
      </c>
      <c r="BE132" s="138">
        <f t="shared" si="4"/>
        <v>0</v>
      </c>
      <c r="BF132" s="138">
        <f t="shared" si="5"/>
        <v>3000</v>
      </c>
      <c r="BG132" s="138">
        <f t="shared" si="6"/>
        <v>0</v>
      </c>
      <c r="BH132" s="138">
        <f t="shared" si="7"/>
        <v>0</v>
      </c>
      <c r="BI132" s="138">
        <f t="shared" si="8"/>
        <v>0</v>
      </c>
      <c r="BJ132" s="15" t="s">
        <v>143</v>
      </c>
      <c r="BK132" s="138">
        <f t="shared" si="9"/>
        <v>3000</v>
      </c>
      <c r="BL132" s="15" t="s">
        <v>206</v>
      </c>
      <c r="BM132" s="137" t="s">
        <v>1487</v>
      </c>
    </row>
    <row r="133" spans="2:65" s="1" customFormat="1" ht="16.5" customHeight="1">
      <c r="B133" s="126"/>
      <c r="C133" s="127" t="s">
        <v>168</v>
      </c>
      <c r="D133" s="127" t="s">
        <v>144</v>
      </c>
      <c r="E133" s="128" t="s">
        <v>1486</v>
      </c>
      <c r="F133" s="129" t="s">
        <v>1485</v>
      </c>
      <c r="G133" s="130" t="s">
        <v>1478</v>
      </c>
      <c r="H133" s="131">
        <v>1</v>
      </c>
      <c r="I133" s="132">
        <v>500</v>
      </c>
      <c r="J133" s="132">
        <f t="shared" si="0"/>
        <v>500</v>
      </c>
      <c r="K133" s="129" t="s">
        <v>1</v>
      </c>
      <c r="L133" s="27"/>
      <c r="M133" s="133" t="s">
        <v>1</v>
      </c>
      <c r="N133" s="134" t="s">
        <v>39</v>
      </c>
      <c r="O133" s="135">
        <v>0</v>
      </c>
      <c r="P133" s="135">
        <f t="shared" si="1"/>
        <v>0</v>
      </c>
      <c r="Q133" s="135">
        <v>5.0000000000000001E-3</v>
      </c>
      <c r="R133" s="135">
        <f t="shared" si="2"/>
        <v>5.0000000000000001E-3</v>
      </c>
      <c r="S133" s="135">
        <v>0</v>
      </c>
      <c r="T133" s="136">
        <f t="shared" si="3"/>
        <v>0</v>
      </c>
      <c r="AR133" s="137" t="s">
        <v>206</v>
      </c>
      <c r="AT133" s="137" t="s">
        <v>144</v>
      </c>
      <c r="AU133" s="137" t="s">
        <v>143</v>
      </c>
      <c r="AY133" s="15" t="s">
        <v>141</v>
      </c>
      <c r="BE133" s="138">
        <f t="shared" si="4"/>
        <v>0</v>
      </c>
      <c r="BF133" s="138">
        <f t="shared" si="5"/>
        <v>500</v>
      </c>
      <c r="BG133" s="138">
        <f t="shared" si="6"/>
        <v>0</v>
      </c>
      <c r="BH133" s="138">
        <f t="shared" si="7"/>
        <v>0</v>
      </c>
      <c r="BI133" s="138">
        <f t="shared" si="8"/>
        <v>0</v>
      </c>
      <c r="BJ133" s="15" t="s">
        <v>143</v>
      </c>
      <c r="BK133" s="138">
        <f t="shared" si="9"/>
        <v>500</v>
      </c>
      <c r="BL133" s="15" t="s">
        <v>206</v>
      </c>
      <c r="BM133" s="137" t="s">
        <v>1484</v>
      </c>
    </row>
    <row r="134" spans="2:65" s="1" customFormat="1" ht="16.5" customHeight="1">
      <c r="B134" s="126"/>
      <c r="C134" s="127" t="s">
        <v>172</v>
      </c>
      <c r="D134" s="127" t="s">
        <v>144</v>
      </c>
      <c r="E134" s="128" t="s">
        <v>1483</v>
      </c>
      <c r="F134" s="129" t="s">
        <v>1482</v>
      </c>
      <c r="G134" s="130" t="s">
        <v>1478</v>
      </c>
      <c r="H134" s="131">
        <v>1</v>
      </c>
      <c r="I134" s="132">
        <v>3045</v>
      </c>
      <c r="J134" s="132">
        <f t="shared" si="0"/>
        <v>3045</v>
      </c>
      <c r="K134" s="129" t="s">
        <v>1</v>
      </c>
      <c r="L134" s="27"/>
      <c r="M134" s="133" t="s">
        <v>1</v>
      </c>
      <c r="N134" s="134" t="s">
        <v>39</v>
      </c>
      <c r="O134" s="135">
        <v>0</v>
      </c>
      <c r="P134" s="135">
        <f t="shared" si="1"/>
        <v>0</v>
      </c>
      <c r="Q134" s="135">
        <v>5.0000000000000001E-3</v>
      </c>
      <c r="R134" s="135">
        <f t="shared" si="2"/>
        <v>5.0000000000000001E-3</v>
      </c>
      <c r="S134" s="135">
        <v>0</v>
      </c>
      <c r="T134" s="136">
        <f t="shared" si="3"/>
        <v>0</v>
      </c>
      <c r="AR134" s="137" t="s">
        <v>206</v>
      </c>
      <c r="AT134" s="137" t="s">
        <v>144</v>
      </c>
      <c r="AU134" s="137" t="s">
        <v>143</v>
      </c>
      <c r="AY134" s="15" t="s">
        <v>141</v>
      </c>
      <c r="BE134" s="138">
        <f t="shared" si="4"/>
        <v>0</v>
      </c>
      <c r="BF134" s="138">
        <f t="shared" si="5"/>
        <v>3045</v>
      </c>
      <c r="BG134" s="138">
        <f t="shared" si="6"/>
        <v>0</v>
      </c>
      <c r="BH134" s="138">
        <f t="shared" si="7"/>
        <v>0</v>
      </c>
      <c r="BI134" s="138">
        <f t="shared" si="8"/>
        <v>0</v>
      </c>
      <c r="BJ134" s="15" t="s">
        <v>143</v>
      </c>
      <c r="BK134" s="138">
        <f t="shared" si="9"/>
        <v>3045</v>
      </c>
      <c r="BL134" s="15" t="s">
        <v>206</v>
      </c>
      <c r="BM134" s="137" t="s">
        <v>1481</v>
      </c>
    </row>
    <row r="135" spans="2:65" s="1" customFormat="1" ht="16.5" customHeight="1">
      <c r="B135" s="126"/>
      <c r="C135" s="127" t="s">
        <v>176</v>
      </c>
      <c r="D135" s="127" t="s">
        <v>144</v>
      </c>
      <c r="E135" s="128" t="s">
        <v>1480</v>
      </c>
      <c r="F135" s="129" t="s">
        <v>1479</v>
      </c>
      <c r="G135" s="130" t="s">
        <v>1478</v>
      </c>
      <c r="H135" s="131">
        <v>1</v>
      </c>
      <c r="I135" s="132">
        <v>10000</v>
      </c>
      <c r="J135" s="132">
        <f t="shared" si="0"/>
        <v>10000</v>
      </c>
      <c r="K135" s="129" t="s">
        <v>1</v>
      </c>
      <c r="L135" s="27"/>
      <c r="M135" s="133" t="s">
        <v>1</v>
      </c>
      <c r="N135" s="134" t="s">
        <v>39</v>
      </c>
      <c r="O135" s="135">
        <v>0</v>
      </c>
      <c r="P135" s="135">
        <f t="shared" si="1"/>
        <v>0</v>
      </c>
      <c r="Q135" s="135">
        <v>5.0000000000000001E-3</v>
      </c>
      <c r="R135" s="135">
        <f t="shared" si="2"/>
        <v>5.0000000000000001E-3</v>
      </c>
      <c r="S135" s="135">
        <v>0</v>
      </c>
      <c r="T135" s="136">
        <f t="shared" si="3"/>
        <v>0</v>
      </c>
      <c r="AR135" s="137" t="s">
        <v>206</v>
      </c>
      <c r="AT135" s="137" t="s">
        <v>144</v>
      </c>
      <c r="AU135" s="137" t="s">
        <v>143</v>
      </c>
      <c r="AY135" s="15" t="s">
        <v>141</v>
      </c>
      <c r="BE135" s="138">
        <f t="shared" si="4"/>
        <v>0</v>
      </c>
      <c r="BF135" s="138">
        <f t="shared" si="5"/>
        <v>10000</v>
      </c>
      <c r="BG135" s="138">
        <f t="shared" si="6"/>
        <v>0</v>
      </c>
      <c r="BH135" s="138">
        <f t="shared" si="7"/>
        <v>0</v>
      </c>
      <c r="BI135" s="138">
        <f t="shared" si="8"/>
        <v>0</v>
      </c>
      <c r="BJ135" s="15" t="s">
        <v>143</v>
      </c>
      <c r="BK135" s="138">
        <f t="shared" si="9"/>
        <v>10000</v>
      </c>
      <c r="BL135" s="15" t="s">
        <v>206</v>
      </c>
      <c r="BM135" s="137" t="s">
        <v>1477</v>
      </c>
    </row>
    <row r="136" spans="2:65" s="1" customFormat="1" ht="16.5" customHeight="1">
      <c r="B136" s="126"/>
      <c r="C136" s="127" t="s">
        <v>181</v>
      </c>
      <c r="D136" s="127" t="s">
        <v>144</v>
      </c>
      <c r="E136" s="128" t="s">
        <v>1476</v>
      </c>
      <c r="F136" s="129" t="s">
        <v>1475</v>
      </c>
      <c r="G136" s="130" t="s">
        <v>1111</v>
      </c>
      <c r="H136" s="131">
        <v>10</v>
      </c>
      <c r="I136" s="132">
        <v>115</v>
      </c>
      <c r="J136" s="132">
        <f t="shared" si="0"/>
        <v>1150</v>
      </c>
      <c r="K136" s="129" t="s">
        <v>148</v>
      </c>
      <c r="L136" s="27"/>
      <c r="M136" s="133" t="s">
        <v>1</v>
      </c>
      <c r="N136" s="134" t="s">
        <v>39</v>
      </c>
      <c r="O136" s="135">
        <v>0.114</v>
      </c>
      <c r="P136" s="135">
        <f t="shared" si="1"/>
        <v>1.1400000000000001</v>
      </c>
      <c r="Q136" s="135">
        <v>1.1199999999999999E-3</v>
      </c>
      <c r="R136" s="135">
        <f t="shared" si="2"/>
        <v>1.1199999999999998E-2</v>
      </c>
      <c r="S136" s="135">
        <v>0</v>
      </c>
      <c r="T136" s="136">
        <f t="shared" si="3"/>
        <v>0</v>
      </c>
      <c r="AR136" s="137" t="s">
        <v>206</v>
      </c>
      <c r="AT136" s="137" t="s">
        <v>144</v>
      </c>
      <c r="AU136" s="137" t="s">
        <v>143</v>
      </c>
      <c r="AY136" s="15" t="s">
        <v>141</v>
      </c>
      <c r="BE136" s="138">
        <f t="shared" si="4"/>
        <v>0</v>
      </c>
      <c r="BF136" s="138">
        <f t="shared" si="5"/>
        <v>1150</v>
      </c>
      <c r="BG136" s="138">
        <f t="shared" si="6"/>
        <v>0</v>
      </c>
      <c r="BH136" s="138">
        <f t="shared" si="7"/>
        <v>0</v>
      </c>
      <c r="BI136" s="138">
        <f t="shared" si="8"/>
        <v>0</v>
      </c>
      <c r="BJ136" s="15" t="s">
        <v>143</v>
      </c>
      <c r="BK136" s="138">
        <f t="shared" si="9"/>
        <v>1150</v>
      </c>
      <c r="BL136" s="15" t="s">
        <v>206</v>
      </c>
      <c r="BM136" s="137" t="s">
        <v>1474</v>
      </c>
    </row>
    <row r="137" spans="2:65" s="1" customFormat="1" ht="24.2" customHeight="1">
      <c r="B137" s="126"/>
      <c r="C137" s="127" t="s">
        <v>185</v>
      </c>
      <c r="D137" s="127" t="s">
        <v>144</v>
      </c>
      <c r="E137" s="128" t="s">
        <v>1473</v>
      </c>
      <c r="F137" s="129" t="s">
        <v>1472</v>
      </c>
      <c r="G137" s="130" t="s">
        <v>1111</v>
      </c>
      <c r="H137" s="131">
        <v>1</v>
      </c>
      <c r="I137" s="132">
        <v>5350</v>
      </c>
      <c r="J137" s="132">
        <f t="shared" si="0"/>
        <v>5350</v>
      </c>
      <c r="K137" s="129" t="s">
        <v>148</v>
      </c>
      <c r="L137" s="27"/>
      <c r="M137" s="133" t="s">
        <v>1</v>
      </c>
      <c r="N137" s="134" t="s">
        <v>39</v>
      </c>
      <c r="O137" s="135">
        <v>0.16700000000000001</v>
      </c>
      <c r="P137" s="135">
        <f t="shared" si="1"/>
        <v>0.16700000000000001</v>
      </c>
      <c r="Q137" s="135">
        <v>2.8600000000000001E-3</v>
      </c>
      <c r="R137" s="135">
        <f t="shared" si="2"/>
        <v>2.8600000000000001E-3</v>
      </c>
      <c r="S137" s="135">
        <v>0</v>
      </c>
      <c r="T137" s="136">
        <f t="shared" si="3"/>
        <v>0</v>
      </c>
      <c r="AR137" s="137" t="s">
        <v>206</v>
      </c>
      <c r="AT137" s="137" t="s">
        <v>144</v>
      </c>
      <c r="AU137" s="137" t="s">
        <v>143</v>
      </c>
      <c r="AY137" s="15" t="s">
        <v>141</v>
      </c>
      <c r="BE137" s="138">
        <f t="shared" si="4"/>
        <v>0</v>
      </c>
      <c r="BF137" s="138">
        <f t="shared" si="5"/>
        <v>5350</v>
      </c>
      <c r="BG137" s="138">
        <f t="shared" si="6"/>
        <v>0</v>
      </c>
      <c r="BH137" s="138">
        <f t="shared" si="7"/>
        <v>0</v>
      </c>
      <c r="BI137" s="138">
        <f t="shared" si="8"/>
        <v>0</v>
      </c>
      <c r="BJ137" s="15" t="s">
        <v>143</v>
      </c>
      <c r="BK137" s="138">
        <f t="shared" si="9"/>
        <v>5350</v>
      </c>
      <c r="BL137" s="15" t="s">
        <v>206</v>
      </c>
      <c r="BM137" s="137" t="s">
        <v>1471</v>
      </c>
    </row>
    <row r="138" spans="2:65" s="1" customFormat="1" ht="44.25" customHeight="1">
      <c r="B138" s="126"/>
      <c r="C138" s="127" t="s">
        <v>190</v>
      </c>
      <c r="D138" s="127" t="s">
        <v>144</v>
      </c>
      <c r="E138" s="128" t="s">
        <v>1470</v>
      </c>
      <c r="F138" s="129" t="s">
        <v>1469</v>
      </c>
      <c r="G138" s="130" t="s">
        <v>1111</v>
      </c>
      <c r="H138" s="131">
        <v>1</v>
      </c>
      <c r="I138" s="132">
        <v>7950</v>
      </c>
      <c r="J138" s="132">
        <f t="shared" si="0"/>
        <v>7950</v>
      </c>
      <c r="K138" s="129" t="s">
        <v>148</v>
      </c>
      <c r="L138" s="27"/>
      <c r="M138" s="133" t="s">
        <v>1</v>
      </c>
      <c r="N138" s="134" t="s">
        <v>39</v>
      </c>
      <c r="O138" s="135">
        <v>0.8</v>
      </c>
      <c r="P138" s="135">
        <f t="shared" si="1"/>
        <v>0.8</v>
      </c>
      <c r="Q138" s="135">
        <v>1.3270000000000001E-2</v>
      </c>
      <c r="R138" s="135">
        <f t="shared" si="2"/>
        <v>1.3270000000000001E-2</v>
      </c>
      <c r="S138" s="135">
        <v>0</v>
      </c>
      <c r="T138" s="136">
        <f t="shared" si="3"/>
        <v>0</v>
      </c>
      <c r="AR138" s="137" t="s">
        <v>206</v>
      </c>
      <c r="AT138" s="137" t="s">
        <v>144</v>
      </c>
      <c r="AU138" s="137" t="s">
        <v>143</v>
      </c>
      <c r="AY138" s="15" t="s">
        <v>141</v>
      </c>
      <c r="BE138" s="138">
        <f t="shared" si="4"/>
        <v>0</v>
      </c>
      <c r="BF138" s="138">
        <f t="shared" si="5"/>
        <v>7950</v>
      </c>
      <c r="BG138" s="138">
        <f t="shared" si="6"/>
        <v>0</v>
      </c>
      <c r="BH138" s="138">
        <f t="shared" si="7"/>
        <v>0</v>
      </c>
      <c r="BI138" s="138">
        <f t="shared" si="8"/>
        <v>0</v>
      </c>
      <c r="BJ138" s="15" t="s">
        <v>143</v>
      </c>
      <c r="BK138" s="138">
        <f t="shared" si="9"/>
        <v>7950</v>
      </c>
      <c r="BL138" s="15" t="s">
        <v>206</v>
      </c>
      <c r="BM138" s="137" t="s">
        <v>1468</v>
      </c>
    </row>
    <row r="139" spans="2:65" s="1" customFormat="1" ht="24.2" customHeight="1">
      <c r="B139" s="126"/>
      <c r="C139" s="127" t="s">
        <v>195</v>
      </c>
      <c r="D139" s="127" t="s">
        <v>144</v>
      </c>
      <c r="E139" s="128" t="s">
        <v>1467</v>
      </c>
      <c r="F139" s="129" t="s">
        <v>1466</v>
      </c>
      <c r="G139" s="130" t="s">
        <v>1111</v>
      </c>
      <c r="H139" s="131">
        <v>1</v>
      </c>
      <c r="I139" s="132">
        <v>1550</v>
      </c>
      <c r="J139" s="132">
        <f t="shared" si="0"/>
        <v>1550</v>
      </c>
      <c r="K139" s="129" t="s">
        <v>148</v>
      </c>
      <c r="L139" s="27"/>
      <c r="M139" s="133" t="s">
        <v>1</v>
      </c>
      <c r="N139" s="134" t="s">
        <v>39</v>
      </c>
      <c r="O139" s="135">
        <v>0.5</v>
      </c>
      <c r="P139" s="135">
        <f t="shared" si="1"/>
        <v>0.5</v>
      </c>
      <c r="Q139" s="135">
        <v>1.4499999999999999E-3</v>
      </c>
      <c r="R139" s="135">
        <f t="shared" si="2"/>
        <v>1.4499999999999999E-3</v>
      </c>
      <c r="S139" s="135">
        <v>0</v>
      </c>
      <c r="T139" s="136">
        <f t="shared" si="3"/>
        <v>0</v>
      </c>
      <c r="AR139" s="137" t="s">
        <v>206</v>
      </c>
      <c r="AT139" s="137" t="s">
        <v>144</v>
      </c>
      <c r="AU139" s="137" t="s">
        <v>143</v>
      </c>
      <c r="AY139" s="15" t="s">
        <v>141</v>
      </c>
      <c r="BE139" s="138">
        <f t="shared" si="4"/>
        <v>0</v>
      </c>
      <c r="BF139" s="138">
        <f t="shared" si="5"/>
        <v>1550</v>
      </c>
      <c r="BG139" s="138">
        <f t="shared" si="6"/>
        <v>0</v>
      </c>
      <c r="BH139" s="138">
        <f t="shared" si="7"/>
        <v>0</v>
      </c>
      <c r="BI139" s="138">
        <f t="shared" si="8"/>
        <v>0</v>
      </c>
      <c r="BJ139" s="15" t="s">
        <v>143</v>
      </c>
      <c r="BK139" s="138">
        <f t="shared" si="9"/>
        <v>1550</v>
      </c>
      <c r="BL139" s="15" t="s">
        <v>206</v>
      </c>
      <c r="BM139" s="137" t="s">
        <v>1465</v>
      </c>
    </row>
    <row r="140" spans="2:65" s="1" customFormat="1" ht="33" customHeight="1">
      <c r="B140" s="126"/>
      <c r="C140" s="127" t="s">
        <v>199</v>
      </c>
      <c r="D140" s="127" t="s">
        <v>144</v>
      </c>
      <c r="E140" s="128" t="s">
        <v>1464</v>
      </c>
      <c r="F140" s="129" t="s">
        <v>1463</v>
      </c>
      <c r="G140" s="130" t="s">
        <v>147</v>
      </c>
      <c r="H140" s="131">
        <v>1</v>
      </c>
      <c r="I140" s="132">
        <v>1380</v>
      </c>
      <c r="J140" s="132">
        <f t="shared" si="0"/>
        <v>1380</v>
      </c>
      <c r="K140" s="129" t="s">
        <v>148</v>
      </c>
      <c r="L140" s="27"/>
      <c r="M140" s="133" t="s">
        <v>1</v>
      </c>
      <c r="N140" s="134" t="s">
        <v>39</v>
      </c>
      <c r="O140" s="135">
        <v>0.28799999999999998</v>
      </c>
      <c r="P140" s="135">
        <f t="shared" si="1"/>
        <v>0.28799999999999998</v>
      </c>
      <c r="Q140" s="135">
        <v>7.6000000000000004E-4</v>
      </c>
      <c r="R140" s="135">
        <f t="shared" si="2"/>
        <v>7.6000000000000004E-4</v>
      </c>
      <c r="S140" s="135">
        <v>0</v>
      </c>
      <c r="T140" s="136">
        <f t="shared" si="3"/>
        <v>0</v>
      </c>
      <c r="AR140" s="137" t="s">
        <v>206</v>
      </c>
      <c r="AT140" s="137" t="s">
        <v>144</v>
      </c>
      <c r="AU140" s="137" t="s">
        <v>143</v>
      </c>
      <c r="AY140" s="15" t="s">
        <v>141</v>
      </c>
      <c r="BE140" s="138">
        <f t="shared" si="4"/>
        <v>0</v>
      </c>
      <c r="BF140" s="138">
        <f t="shared" si="5"/>
        <v>1380</v>
      </c>
      <c r="BG140" s="138">
        <f t="shared" si="6"/>
        <v>0</v>
      </c>
      <c r="BH140" s="138">
        <f t="shared" si="7"/>
        <v>0</v>
      </c>
      <c r="BI140" s="138">
        <f t="shared" si="8"/>
        <v>0</v>
      </c>
      <c r="BJ140" s="15" t="s">
        <v>143</v>
      </c>
      <c r="BK140" s="138">
        <f t="shared" si="9"/>
        <v>1380</v>
      </c>
      <c r="BL140" s="15" t="s">
        <v>206</v>
      </c>
      <c r="BM140" s="137" t="s">
        <v>1462</v>
      </c>
    </row>
    <row r="141" spans="2:65" s="1" customFormat="1" ht="55.5" customHeight="1">
      <c r="B141" s="126"/>
      <c r="C141" s="127" t="s">
        <v>8</v>
      </c>
      <c r="D141" s="127" t="s">
        <v>144</v>
      </c>
      <c r="E141" s="128" t="s">
        <v>1461</v>
      </c>
      <c r="F141" s="129" t="s">
        <v>1460</v>
      </c>
      <c r="G141" s="130" t="s">
        <v>1111</v>
      </c>
      <c r="H141" s="131">
        <v>1</v>
      </c>
      <c r="I141" s="132">
        <v>12800</v>
      </c>
      <c r="J141" s="132">
        <f t="shared" si="0"/>
        <v>12800</v>
      </c>
      <c r="K141" s="129" t="s">
        <v>1</v>
      </c>
      <c r="L141" s="27"/>
      <c r="M141" s="133" t="s">
        <v>1</v>
      </c>
      <c r="N141" s="134" t="s">
        <v>39</v>
      </c>
      <c r="O141" s="135">
        <v>0.51200000000000001</v>
      </c>
      <c r="P141" s="135">
        <f t="shared" si="1"/>
        <v>0.51200000000000001</v>
      </c>
      <c r="Q141" s="135">
        <v>3.2799999999999999E-3</v>
      </c>
      <c r="R141" s="135">
        <f t="shared" si="2"/>
        <v>3.2799999999999999E-3</v>
      </c>
      <c r="S141" s="135">
        <v>0</v>
      </c>
      <c r="T141" s="136">
        <f t="shared" si="3"/>
        <v>0</v>
      </c>
      <c r="AR141" s="137" t="s">
        <v>206</v>
      </c>
      <c r="AT141" s="137" t="s">
        <v>144</v>
      </c>
      <c r="AU141" s="137" t="s">
        <v>143</v>
      </c>
      <c r="AY141" s="15" t="s">
        <v>141</v>
      </c>
      <c r="BE141" s="138">
        <f t="shared" si="4"/>
        <v>0</v>
      </c>
      <c r="BF141" s="138">
        <f t="shared" si="5"/>
        <v>12800</v>
      </c>
      <c r="BG141" s="138">
        <f t="shared" si="6"/>
        <v>0</v>
      </c>
      <c r="BH141" s="138">
        <f t="shared" si="7"/>
        <v>0</v>
      </c>
      <c r="BI141" s="138">
        <f t="shared" si="8"/>
        <v>0</v>
      </c>
      <c r="BJ141" s="15" t="s">
        <v>143</v>
      </c>
      <c r="BK141" s="138">
        <f t="shared" si="9"/>
        <v>12800</v>
      </c>
      <c r="BL141" s="15" t="s">
        <v>206</v>
      </c>
      <c r="BM141" s="137" t="s">
        <v>1459</v>
      </c>
    </row>
    <row r="142" spans="2:65" s="1" customFormat="1" ht="55.5" customHeight="1">
      <c r="B142" s="126"/>
      <c r="C142" s="127" t="s">
        <v>206</v>
      </c>
      <c r="D142" s="127" t="s">
        <v>144</v>
      </c>
      <c r="E142" s="128" t="s">
        <v>1458</v>
      </c>
      <c r="F142" s="129" t="s">
        <v>1457</v>
      </c>
      <c r="G142" s="130" t="s">
        <v>1111</v>
      </c>
      <c r="H142" s="131">
        <v>2</v>
      </c>
      <c r="I142" s="132">
        <v>5890</v>
      </c>
      <c r="J142" s="132">
        <f t="shared" si="0"/>
        <v>11780</v>
      </c>
      <c r="K142" s="129" t="s">
        <v>148</v>
      </c>
      <c r="L142" s="27"/>
      <c r="M142" s="133" t="s">
        <v>1</v>
      </c>
      <c r="N142" s="134" t="s">
        <v>39</v>
      </c>
      <c r="O142" s="135">
        <v>0.60499999999999998</v>
      </c>
      <c r="P142" s="135">
        <f t="shared" si="1"/>
        <v>1.21</v>
      </c>
      <c r="Q142" s="135">
        <v>3.3899999999999998E-3</v>
      </c>
      <c r="R142" s="135">
        <f t="shared" si="2"/>
        <v>6.7799999999999996E-3</v>
      </c>
      <c r="S142" s="135">
        <v>0</v>
      </c>
      <c r="T142" s="136">
        <f t="shared" si="3"/>
        <v>0</v>
      </c>
      <c r="AR142" s="137" t="s">
        <v>206</v>
      </c>
      <c r="AT142" s="137" t="s">
        <v>144</v>
      </c>
      <c r="AU142" s="137" t="s">
        <v>143</v>
      </c>
      <c r="AY142" s="15" t="s">
        <v>141</v>
      </c>
      <c r="BE142" s="138">
        <f t="shared" si="4"/>
        <v>0</v>
      </c>
      <c r="BF142" s="138">
        <f t="shared" si="5"/>
        <v>11780</v>
      </c>
      <c r="BG142" s="138">
        <f t="shared" si="6"/>
        <v>0</v>
      </c>
      <c r="BH142" s="138">
        <f t="shared" si="7"/>
        <v>0</v>
      </c>
      <c r="BI142" s="138">
        <f t="shared" si="8"/>
        <v>0</v>
      </c>
      <c r="BJ142" s="15" t="s">
        <v>143</v>
      </c>
      <c r="BK142" s="138">
        <f t="shared" si="9"/>
        <v>11780</v>
      </c>
      <c r="BL142" s="15" t="s">
        <v>206</v>
      </c>
      <c r="BM142" s="137" t="s">
        <v>1456</v>
      </c>
    </row>
    <row r="143" spans="2:65" s="1" customFormat="1" ht="55.5" customHeight="1">
      <c r="B143" s="126"/>
      <c r="C143" s="127" t="s">
        <v>211</v>
      </c>
      <c r="D143" s="127" t="s">
        <v>144</v>
      </c>
      <c r="E143" s="128" t="s">
        <v>1455</v>
      </c>
      <c r="F143" s="129" t="s">
        <v>1454</v>
      </c>
      <c r="G143" s="130" t="s">
        <v>1111</v>
      </c>
      <c r="H143" s="131">
        <v>1</v>
      </c>
      <c r="I143" s="132">
        <v>28200</v>
      </c>
      <c r="J143" s="132">
        <f t="shared" si="0"/>
        <v>28200</v>
      </c>
      <c r="K143" s="129" t="s">
        <v>148</v>
      </c>
      <c r="L143" s="27"/>
      <c r="M143" s="133" t="s">
        <v>1</v>
      </c>
      <c r="N143" s="134" t="s">
        <v>39</v>
      </c>
      <c r="O143" s="135">
        <v>0.97799999999999998</v>
      </c>
      <c r="P143" s="135">
        <f t="shared" si="1"/>
        <v>0.97799999999999998</v>
      </c>
      <c r="Q143" s="135">
        <v>1.354E-2</v>
      </c>
      <c r="R143" s="135">
        <f t="shared" si="2"/>
        <v>1.354E-2</v>
      </c>
      <c r="S143" s="135">
        <v>0</v>
      </c>
      <c r="T143" s="136">
        <f t="shared" si="3"/>
        <v>0</v>
      </c>
      <c r="AR143" s="137" t="s">
        <v>206</v>
      </c>
      <c r="AT143" s="137" t="s">
        <v>144</v>
      </c>
      <c r="AU143" s="137" t="s">
        <v>143</v>
      </c>
      <c r="AY143" s="15" t="s">
        <v>141</v>
      </c>
      <c r="BE143" s="138">
        <f t="shared" si="4"/>
        <v>0</v>
      </c>
      <c r="BF143" s="138">
        <f t="shared" si="5"/>
        <v>28200</v>
      </c>
      <c r="BG143" s="138">
        <f t="shared" si="6"/>
        <v>0</v>
      </c>
      <c r="BH143" s="138">
        <f t="shared" si="7"/>
        <v>0</v>
      </c>
      <c r="BI143" s="138">
        <f t="shared" si="8"/>
        <v>0</v>
      </c>
      <c r="BJ143" s="15" t="s">
        <v>143</v>
      </c>
      <c r="BK143" s="138">
        <f t="shared" si="9"/>
        <v>28200</v>
      </c>
      <c r="BL143" s="15" t="s">
        <v>206</v>
      </c>
      <c r="BM143" s="137" t="s">
        <v>1453</v>
      </c>
    </row>
    <row r="144" spans="2:65" s="1" customFormat="1" ht="24.2" customHeight="1">
      <c r="B144" s="126"/>
      <c r="C144" s="127" t="s">
        <v>215</v>
      </c>
      <c r="D144" s="127" t="s">
        <v>144</v>
      </c>
      <c r="E144" s="128" t="s">
        <v>1452</v>
      </c>
      <c r="F144" s="129" t="s">
        <v>1451</v>
      </c>
      <c r="G144" s="130" t="s">
        <v>1111</v>
      </c>
      <c r="H144" s="131">
        <v>2</v>
      </c>
      <c r="I144" s="132">
        <v>211500</v>
      </c>
      <c r="J144" s="132">
        <f t="shared" si="0"/>
        <v>423000</v>
      </c>
      <c r="K144" s="129" t="s">
        <v>148</v>
      </c>
      <c r="L144" s="27"/>
      <c r="M144" s="133" t="s">
        <v>1</v>
      </c>
      <c r="N144" s="134" t="s">
        <v>39</v>
      </c>
      <c r="O144" s="135">
        <v>3.3090000000000002</v>
      </c>
      <c r="P144" s="135">
        <f t="shared" si="1"/>
        <v>6.6180000000000003</v>
      </c>
      <c r="Q144" s="135">
        <v>0.2339</v>
      </c>
      <c r="R144" s="135">
        <f t="shared" si="2"/>
        <v>0.46779999999999999</v>
      </c>
      <c r="S144" s="135">
        <v>0</v>
      </c>
      <c r="T144" s="136">
        <f t="shared" si="3"/>
        <v>0</v>
      </c>
      <c r="AR144" s="137" t="s">
        <v>206</v>
      </c>
      <c r="AT144" s="137" t="s">
        <v>144</v>
      </c>
      <c r="AU144" s="137" t="s">
        <v>143</v>
      </c>
      <c r="AY144" s="15" t="s">
        <v>141</v>
      </c>
      <c r="BE144" s="138">
        <f t="shared" si="4"/>
        <v>0</v>
      </c>
      <c r="BF144" s="138">
        <f t="shared" si="5"/>
        <v>423000</v>
      </c>
      <c r="BG144" s="138">
        <f t="shared" si="6"/>
        <v>0</v>
      </c>
      <c r="BH144" s="138">
        <f t="shared" si="7"/>
        <v>0</v>
      </c>
      <c r="BI144" s="138">
        <f t="shared" si="8"/>
        <v>0</v>
      </c>
      <c r="BJ144" s="15" t="s">
        <v>143</v>
      </c>
      <c r="BK144" s="138">
        <f t="shared" si="9"/>
        <v>423000</v>
      </c>
      <c r="BL144" s="15" t="s">
        <v>206</v>
      </c>
      <c r="BM144" s="137" t="s">
        <v>1450</v>
      </c>
    </row>
    <row r="145" spans="2:65" s="1" customFormat="1" ht="33" customHeight="1">
      <c r="B145" s="126"/>
      <c r="C145" s="127" t="s">
        <v>217</v>
      </c>
      <c r="D145" s="127" t="s">
        <v>144</v>
      </c>
      <c r="E145" s="128" t="s">
        <v>1449</v>
      </c>
      <c r="F145" s="129" t="s">
        <v>1448</v>
      </c>
      <c r="G145" s="130" t="s">
        <v>1111</v>
      </c>
      <c r="H145" s="131">
        <v>1</v>
      </c>
      <c r="I145" s="132">
        <v>60600</v>
      </c>
      <c r="J145" s="132">
        <f t="shared" si="0"/>
        <v>60600</v>
      </c>
      <c r="K145" s="129" t="s">
        <v>148</v>
      </c>
      <c r="L145" s="27"/>
      <c r="M145" s="133" t="s">
        <v>1</v>
      </c>
      <c r="N145" s="134" t="s">
        <v>39</v>
      </c>
      <c r="O145" s="135">
        <v>6.6970000000000001</v>
      </c>
      <c r="P145" s="135">
        <f t="shared" si="1"/>
        <v>6.6970000000000001</v>
      </c>
      <c r="Q145" s="135">
        <v>0.14741000000000001</v>
      </c>
      <c r="R145" s="135">
        <f t="shared" si="2"/>
        <v>0.14741000000000001</v>
      </c>
      <c r="S145" s="135">
        <v>0</v>
      </c>
      <c r="T145" s="136">
        <f t="shared" si="3"/>
        <v>0</v>
      </c>
      <c r="AR145" s="137" t="s">
        <v>206</v>
      </c>
      <c r="AT145" s="137" t="s">
        <v>144</v>
      </c>
      <c r="AU145" s="137" t="s">
        <v>143</v>
      </c>
      <c r="AY145" s="15" t="s">
        <v>141</v>
      </c>
      <c r="BE145" s="138">
        <f t="shared" si="4"/>
        <v>0</v>
      </c>
      <c r="BF145" s="138">
        <f t="shared" si="5"/>
        <v>60600</v>
      </c>
      <c r="BG145" s="138">
        <f t="shared" si="6"/>
        <v>0</v>
      </c>
      <c r="BH145" s="138">
        <f t="shared" si="7"/>
        <v>0</v>
      </c>
      <c r="BI145" s="138">
        <f t="shared" si="8"/>
        <v>0</v>
      </c>
      <c r="BJ145" s="15" t="s">
        <v>143</v>
      </c>
      <c r="BK145" s="138">
        <f t="shared" si="9"/>
        <v>60600</v>
      </c>
      <c r="BL145" s="15" t="s">
        <v>206</v>
      </c>
      <c r="BM145" s="137" t="s">
        <v>1447</v>
      </c>
    </row>
    <row r="146" spans="2:65" s="1" customFormat="1" ht="24.2" customHeight="1">
      <c r="B146" s="126"/>
      <c r="C146" s="127" t="s">
        <v>221</v>
      </c>
      <c r="D146" s="127" t="s">
        <v>144</v>
      </c>
      <c r="E146" s="128" t="s">
        <v>1446</v>
      </c>
      <c r="F146" s="129" t="s">
        <v>1445</v>
      </c>
      <c r="G146" s="130" t="s">
        <v>1111</v>
      </c>
      <c r="H146" s="131">
        <v>1</v>
      </c>
      <c r="I146" s="132">
        <v>69100</v>
      </c>
      <c r="J146" s="132">
        <f t="shared" si="0"/>
        <v>69100</v>
      </c>
      <c r="K146" s="129" t="s">
        <v>148</v>
      </c>
      <c r="L146" s="27"/>
      <c r="M146" s="133" t="s">
        <v>1</v>
      </c>
      <c r="N146" s="134" t="s">
        <v>39</v>
      </c>
      <c r="O146" s="135">
        <v>7.3529999999999998</v>
      </c>
      <c r="P146" s="135">
        <f t="shared" si="1"/>
        <v>7.3529999999999998</v>
      </c>
      <c r="Q146" s="135">
        <v>0.16471</v>
      </c>
      <c r="R146" s="135">
        <f t="shared" si="2"/>
        <v>0.16471</v>
      </c>
      <c r="S146" s="135">
        <v>0</v>
      </c>
      <c r="T146" s="136">
        <f t="shared" si="3"/>
        <v>0</v>
      </c>
      <c r="AR146" s="137" t="s">
        <v>206</v>
      </c>
      <c r="AT146" s="137" t="s">
        <v>144</v>
      </c>
      <c r="AU146" s="137" t="s">
        <v>143</v>
      </c>
      <c r="AY146" s="15" t="s">
        <v>141</v>
      </c>
      <c r="BE146" s="138">
        <f t="shared" si="4"/>
        <v>0</v>
      </c>
      <c r="BF146" s="138">
        <f t="shared" si="5"/>
        <v>69100</v>
      </c>
      <c r="BG146" s="138">
        <f t="shared" si="6"/>
        <v>0</v>
      </c>
      <c r="BH146" s="138">
        <f t="shared" si="7"/>
        <v>0</v>
      </c>
      <c r="BI146" s="138">
        <f t="shared" si="8"/>
        <v>0</v>
      </c>
      <c r="BJ146" s="15" t="s">
        <v>143</v>
      </c>
      <c r="BK146" s="138">
        <f t="shared" si="9"/>
        <v>69100</v>
      </c>
      <c r="BL146" s="15" t="s">
        <v>206</v>
      </c>
      <c r="BM146" s="137" t="s">
        <v>1444</v>
      </c>
    </row>
    <row r="147" spans="2:65" s="1" customFormat="1" ht="44.25" customHeight="1">
      <c r="B147" s="126"/>
      <c r="C147" s="127" t="s">
        <v>7</v>
      </c>
      <c r="D147" s="127" t="s">
        <v>144</v>
      </c>
      <c r="E147" s="128" t="s">
        <v>1443</v>
      </c>
      <c r="F147" s="129" t="s">
        <v>1442</v>
      </c>
      <c r="G147" s="130" t="s">
        <v>179</v>
      </c>
      <c r="H147" s="131">
        <v>0.86799999999999999</v>
      </c>
      <c r="I147" s="132">
        <v>1900</v>
      </c>
      <c r="J147" s="132">
        <f t="shared" si="0"/>
        <v>1649.2</v>
      </c>
      <c r="K147" s="129" t="s">
        <v>148</v>
      </c>
      <c r="L147" s="27"/>
      <c r="M147" s="133" t="s">
        <v>1</v>
      </c>
      <c r="N147" s="134" t="s">
        <v>39</v>
      </c>
      <c r="O147" s="135">
        <v>4.0430000000000001</v>
      </c>
      <c r="P147" s="135">
        <f t="shared" si="1"/>
        <v>3.5093239999999999</v>
      </c>
      <c r="Q147" s="135">
        <v>0</v>
      </c>
      <c r="R147" s="135">
        <f t="shared" si="2"/>
        <v>0</v>
      </c>
      <c r="S147" s="135">
        <v>0</v>
      </c>
      <c r="T147" s="136">
        <f t="shared" si="3"/>
        <v>0</v>
      </c>
      <c r="AR147" s="137" t="s">
        <v>206</v>
      </c>
      <c r="AT147" s="137" t="s">
        <v>144</v>
      </c>
      <c r="AU147" s="137" t="s">
        <v>143</v>
      </c>
      <c r="AY147" s="15" t="s">
        <v>141</v>
      </c>
      <c r="BE147" s="138">
        <f t="shared" si="4"/>
        <v>0</v>
      </c>
      <c r="BF147" s="138">
        <f t="shared" si="5"/>
        <v>1649.2</v>
      </c>
      <c r="BG147" s="138">
        <f t="shared" si="6"/>
        <v>0</v>
      </c>
      <c r="BH147" s="138">
        <f t="shared" si="7"/>
        <v>0</v>
      </c>
      <c r="BI147" s="138">
        <f t="shared" si="8"/>
        <v>0</v>
      </c>
      <c r="BJ147" s="15" t="s">
        <v>143</v>
      </c>
      <c r="BK147" s="138">
        <f t="shared" si="9"/>
        <v>1649.2</v>
      </c>
      <c r="BL147" s="15" t="s">
        <v>206</v>
      </c>
      <c r="BM147" s="137" t="s">
        <v>1441</v>
      </c>
    </row>
    <row r="148" spans="2:65" s="11" customFormat="1" ht="22.9" customHeight="1">
      <c r="B148" s="115"/>
      <c r="D148" s="116" t="s">
        <v>72</v>
      </c>
      <c r="E148" s="124" t="s">
        <v>1440</v>
      </c>
      <c r="F148" s="124" t="s">
        <v>1439</v>
      </c>
      <c r="J148" s="125">
        <f>BK148</f>
        <v>365980.3</v>
      </c>
      <c r="L148" s="115"/>
      <c r="M148" s="119"/>
      <c r="P148" s="120">
        <f>SUM(P149:P164)</f>
        <v>185.23176200000003</v>
      </c>
      <c r="R148" s="120">
        <f>SUM(R149:R164)</f>
        <v>0.57399999999999995</v>
      </c>
      <c r="T148" s="121">
        <f>SUM(T149:T164)</f>
        <v>0</v>
      </c>
      <c r="AR148" s="116" t="s">
        <v>143</v>
      </c>
      <c r="AT148" s="122" t="s">
        <v>72</v>
      </c>
      <c r="AU148" s="122" t="s">
        <v>81</v>
      </c>
      <c r="AY148" s="116" t="s">
        <v>141</v>
      </c>
      <c r="BK148" s="123">
        <f>SUM(BK149:BK164)</f>
        <v>365980.3</v>
      </c>
    </row>
    <row r="149" spans="2:65" s="1" customFormat="1" ht="24.2" customHeight="1">
      <c r="B149" s="126"/>
      <c r="C149" s="127" t="s">
        <v>228</v>
      </c>
      <c r="D149" s="127" t="s">
        <v>144</v>
      </c>
      <c r="E149" s="128" t="s">
        <v>1438</v>
      </c>
      <c r="F149" s="129" t="s">
        <v>1437</v>
      </c>
      <c r="G149" s="130" t="s">
        <v>193</v>
      </c>
      <c r="H149" s="131">
        <v>80</v>
      </c>
      <c r="I149" s="132">
        <v>435</v>
      </c>
      <c r="J149" s="132">
        <f t="shared" ref="J149:J164" si="10">ROUND(I149*H149,2)</f>
        <v>34800</v>
      </c>
      <c r="K149" s="129" t="s">
        <v>148</v>
      </c>
      <c r="L149" s="27"/>
      <c r="M149" s="133" t="s">
        <v>1</v>
      </c>
      <c r="N149" s="134" t="s">
        <v>39</v>
      </c>
      <c r="O149" s="135">
        <v>0.41399999999999998</v>
      </c>
      <c r="P149" s="135">
        <f t="shared" ref="P149:P164" si="11">O149*H149</f>
        <v>33.119999999999997</v>
      </c>
      <c r="Q149" s="135">
        <v>4.8000000000000001E-4</v>
      </c>
      <c r="R149" s="135">
        <f t="shared" ref="R149:R164" si="12">Q149*H149</f>
        <v>3.8400000000000004E-2</v>
      </c>
      <c r="S149" s="135">
        <v>0</v>
      </c>
      <c r="T149" s="136">
        <f t="shared" ref="T149:T164" si="13">S149*H149</f>
        <v>0</v>
      </c>
      <c r="AR149" s="137" t="s">
        <v>206</v>
      </c>
      <c r="AT149" s="137" t="s">
        <v>144</v>
      </c>
      <c r="AU149" s="137" t="s">
        <v>143</v>
      </c>
      <c r="AY149" s="15" t="s">
        <v>141</v>
      </c>
      <c r="BE149" s="138">
        <f t="shared" ref="BE149:BE164" si="14">IF(N149="základní",J149,0)</f>
        <v>0</v>
      </c>
      <c r="BF149" s="138">
        <f t="shared" ref="BF149:BF164" si="15">IF(N149="snížená",J149,0)</f>
        <v>34800</v>
      </c>
      <c r="BG149" s="138">
        <f t="shared" ref="BG149:BG164" si="16">IF(N149="zákl. přenesená",J149,0)</f>
        <v>0</v>
      </c>
      <c r="BH149" s="138">
        <f t="shared" ref="BH149:BH164" si="17">IF(N149="sníž. přenesená",J149,0)</f>
        <v>0</v>
      </c>
      <c r="BI149" s="138">
        <f t="shared" ref="BI149:BI164" si="18">IF(N149="nulová",J149,0)</f>
        <v>0</v>
      </c>
      <c r="BJ149" s="15" t="s">
        <v>143</v>
      </c>
      <c r="BK149" s="138">
        <f t="shared" ref="BK149:BK164" si="19">ROUND(I149*H149,2)</f>
        <v>34800</v>
      </c>
      <c r="BL149" s="15" t="s">
        <v>206</v>
      </c>
      <c r="BM149" s="137" t="s">
        <v>1436</v>
      </c>
    </row>
    <row r="150" spans="2:65" s="1" customFormat="1" ht="24.2" customHeight="1">
      <c r="B150" s="126"/>
      <c r="C150" s="127" t="s">
        <v>232</v>
      </c>
      <c r="D150" s="127" t="s">
        <v>144</v>
      </c>
      <c r="E150" s="128" t="s">
        <v>1435</v>
      </c>
      <c r="F150" s="129" t="s">
        <v>1434</v>
      </c>
      <c r="G150" s="130" t="s">
        <v>193</v>
      </c>
      <c r="H150" s="131">
        <v>30</v>
      </c>
      <c r="I150" s="132">
        <v>560</v>
      </c>
      <c r="J150" s="132">
        <f t="shared" si="10"/>
        <v>16800</v>
      </c>
      <c r="K150" s="129" t="s">
        <v>148</v>
      </c>
      <c r="L150" s="27"/>
      <c r="M150" s="133" t="s">
        <v>1</v>
      </c>
      <c r="N150" s="134" t="s">
        <v>39</v>
      </c>
      <c r="O150" s="135">
        <v>0.42899999999999999</v>
      </c>
      <c r="P150" s="135">
        <f t="shared" si="11"/>
        <v>12.87</v>
      </c>
      <c r="Q150" s="135">
        <v>7.5000000000000002E-4</v>
      </c>
      <c r="R150" s="135">
        <f t="shared" si="12"/>
        <v>2.2499999999999999E-2</v>
      </c>
      <c r="S150" s="135">
        <v>0</v>
      </c>
      <c r="T150" s="136">
        <f t="shared" si="13"/>
        <v>0</v>
      </c>
      <c r="AR150" s="137" t="s">
        <v>206</v>
      </c>
      <c r="AT150" s="137" t="s">
        <v>144</v>
      </c>
      <c r="AU150" s="137" t="s">
        <v>143</v>
      </c>
      <c r="AY150" s="15" t="s">
        <v>141</v>
      </c>
      <c r="BE150" s="138">
        <f t="shared" si="14"/>
        <v>0</v>
      </c>
      <c r="BF150" s="138">
        <f t="shared" si="15"/>
        <v>16800</v>
      </c>
      <c r="BG150" s="138">
        <f t="shared" si="16"/>
        <v>0</v>
      </c>
      <c r="BH150" s="138">
        <f t="shared" si="17"/>
        <v>0</v>
      </c>
      <c r="BI150" s="138">
        <f t="shared" si="18"/>
        <v>0</v>
      </c>
      <c r="BJ150" s="15" t="s">
        <v>143</v>
      </c>
      <c r="BK150" s="138">
        <f t="shared" si="19"/>
        <v>16800</v>
      </c>
      <c r="BL150" s="15" t="s">
        <v>206</v>
      </c>
      <c r="BM150" s="137" t="s">
        <v>1433</v>
      </c>
    </row>
    <row r="151" spans="2:65" s="1" customFormat="1" ht="24.2" customHeight="1">
      <c r="B151" s="126"/>
      <c r="C151" s="127" t="s">
        <v>236</v>
      </c>
      <c r="D151" s="127" t="s">
        <v>144</v>
      </c>
      <c r="E151" s="128" t="s">
        <v>1432</v>
      </c>
      <c r="F151" s="129" t="s">
        <v>1431</v>
      </c>
      <c r="G151" s="130" t="s">
        <v>193</v>
      </c>
      <c r="H151" s="131">
        <v>20</v>
      </c>
      <c r="I151" s="132">
        <v>789</v>
      </c>
      <c r="J151" s="132">
        <f t="shared" si="10"/>
        <v>15780</v>
      </c>
      <c r="K151" s="129" t="s">
        <v>148</v>
      </c>
      <c r="L151" s="27"/>
      <c r="M151" s="133" t="s">
        <v>1</v>
      </c>
      <c r="N151" s="134" t="s">
        <v>39</v>
      </c>
      <c r="O151" s="135">
        <v>0.438</v>
      </c>
      <c r="P151" s="135">
        <f t="shared" si="11"/>
        <v>8.76</v>
      </c>
      <c r="Q151" s="135">
        <v>1.2899999999999999E-3</v>
      </c>
      <c r="R151" s="135">
        <f t="shared" si="12"/>
        <v>2.5799999999999997E-2</v>
      </c>
      <c r="S151" s="135">
        <v>0</v>
      </c>
      <c r="T151" s="136">
        <f t="shared" si="13"/>
        <v>0</v>
      </c>
      <c r="AR151" s="137" t="s">
        <v>206</v>
      </c>
      <c r="AT151" s="137" t="s">
        <v>144</v>
      </c>
      <c r="AU151" s="137" t="s">
        <v>143</v>
      </c>
      <c r="AY151" s="15" t="s">
        <v>141</v>
      </c>
      <c r="BE151" s="138">
        <f t="shared" si="14"/>
        <v>0</v>
      </c>
      <c r="BF151" s="138">
        <f t="shared" si="15"/>
        <v>15780</v>
      </c>
      <c r="BG151" s="138">
        <f t="shared" si="16"/>
        <v>0</v>
      </c>
      <c r="BH151" s="138">
        <f t="shared" si="17"/>
        <v>0</v>
      </c>
      <c r="BI151" s="138">
        <f t="shared" si="18"/>
        <v>0</v>
      </c>
      <c r="BJ151" s="15" t="s">
        <v>143</v>
      </c>
      <c r="BK151" s="138">
        <f t="shared" si="19"/>
        <v>15780</v>
      </c>
      <c r="BL151" s="15" t="s">
        <v>206</v>
      </c>
      <c r="BM151" s="137" t="s">
        <v>1430</v>
      </c>
    </row>
    <row r="152" spans="2:65" s="1" customFormat="1" ht="24.2" customHeight="1">
      <c r="B152" s="126"/>
      <c r="C152" s="127" t="s">
        <v>240</v>
      </c>
      <c r="D152" s="127" t="s">
        <v>144</v>
      </c>
      <c r="E152" s="128" t="s">
        <v>1429</v>
      </c>
      <c r="F152" s="129" t="s">
        <v>1428</v>
      </c>
      <c r="G152" s="130" t="s">
        <v>193</v>
      </c>
      <c r="H152" s="131">
        <v>150</v>
      </c>
      <c r="I152" s="132">
        <v>1070</v>
      </c>
      <c r="J152" s="132">
        <f t="shared" si="10"/>
        <v>160500</v>
      </c>
      <c r="K152" s="129" t="s">
        <v>148</v>
      </c>
      <c r="L152" s="27"/>
      <c r="M152" s="133" t="s">
        <v>1</v>
      </c>
      <c r="N152" s="134" t="s">
        <v>39</v>
      </c>
      <c r="O152" s="135">
        <v>0.443</v>
      </c>
      <c r="P152" s="135">
        <f t="shared" si="11"/>
        <v>66.45</v>
      </c>
      <c r="Q152" s="135">
        <v>1.6100000000000001E-3</v>
      </c>
      <c r="R152" s="135">
        <f t="shared" si="12"/>
        <v>0.24150000000000002</v>
      </c>
      <c r="S152" s="135">
        <v>0</v>
      </c>
      <c r="T152" s="136">
        <f t="shared" si="13"/>
        <v>0</v>
      </c>
      <c r="AR152" s="137" t="s">
        <v>206</v>
      </c>
      <c r="AT152" s="137" t="s">
        <v>144</v>
      </c>
      <c r="AU152" s="137" t="s">
        <v>143</v>
      </c>
      <c r="AY152" s="15" t="s">
        <v>141</v>
      </c>
      <c r="BE152" s="138">
        <f t="shared" si="14"/>
        <v>0</v>
      </c>
      <c r="BF152" s="138">
        <f t="shared" si="15"/>
        <v>160500</v>
      </c>
      <c r="BG152" s="138">
        <f t="shared" si="16"/>
        <v>0</v>
      </c>
      <c r="BH152" s="138">
        <f t="shared" si="17"/>
        <v>0</v>
      </c>
      <c r="BI152" s="138">
        <f t="shared" si="18"/>
        <v>0</v>
      </c>
      <c r="BJ152" s="15" t="s">
        <v>143</v>
      </c>
      <c r="BK152" s="138">
        <f t="shared" si="19"/>
        <v>160500</v>
      </c>
      <c r="BL152" s="15" t="s">
        <v>206</v>
      </c>
      <c r="BM152" s="137" t="s">
        <v>1427</v>
      </c>
    </row>
    <row r="153" spans="2:65" s="1" customFormat="1" ht="24.2" customHeight="1">
      <c r="B153" s="126"/>
      <c r="C153" s="127" t="s">
        <v>244</v>
      </c>
      <c r="D153" s="127" t="s">
        <v>144</v>
      </c>
      <c r="E153" s="128" t="s">
        <v>1426</v>
      </c>
      <c r="F153" s="129" t="s">
        <v>1425</v>
      </c>
      <c r="G153" s="130" t="s">
        <v>193</v>
      </c>
      <c r="H153" s="131">
        <v>20</v>
      </c>
      <c r="I153" s="132">
        <v>2260</v>
      </c>
      <c r="J153" s="132">
        <f t="shared" si="10"/>
        <v>45200</v>
      </c>
      <c r="K153" s="129" t="s">
        <v>148</v>
      </c>
      <c r="L153" s="27"/>
      <c r="M153" s="133" t="s">
        <v>1</v>
      </c>
      <c r="N153" s="134" t="s">
        <v>39</v>
      </c>
      <c r="O153" s="135">
        <v>0.50600000000000001</v>
      </c>
      <c r="P153" s="135">
        <f t="shared" si="11"/>
        <v>10.120000000000001</v>
      </c>
      <c r="Q153" s="135">
        <v>3.3800000000000002E-3</v>
      </c>
      <c r="R153" s="135">
        <f t="shared" si="12"/>
        <v>6.7600000000000007E-2</v>
      </c>
      <c r="S153" s="135">
        <v>0</v>
      </c>
      <c r="T153" s="136">
        <f t="shared" si="13"/>
        <v>0</v>
      </c>
      <c r="AR153" s="137" t="s">
        <v>206</v>
      </c>
      <c r="AT153" s="137" t="s">
        <v>144</v>
      </c>
      <c r="AU153" s="137" t="s">
        <v>143</v>
      </c>
      <c r="AY153" s="15" t="s">
        <v>141</v>
      </c>
      <c r="BE153" s="138">
        <f t="shared" si="14"/>
        <v>0</v>
      </c>
      <c r="BF153" s="138">
        <f t="shared" si="15"/>
        <v>45200</v>
      </c>
      <c r="BG153" s="138">
        <f t="shared" si="16"/>
        <v>0</v>
      </c>
      <c r="BH153" s="138">
        <f t="shared" si="17"/>
        <v>0</v>
      </c>
      <c r="BI153" s="138">
        <f t="shared" si="18"/>
        <v>0</v>
      </c>
      <c r="BJ153" s="15" t="s">
        <v>143</v>
      </c>
      <c r="BK153" s="138">
        <f t="shared" si="19"/>
        <v>45200</v>
      </c>
      <c r="BL153" s="15" t="s">
        <v>206</v>
      </c>
      <c r="BM153" s="137" t="s">
        <v>1424</v>
      </c>
    </row>
    <row r="154" spans="2:65" s="1" customFormat="1" ht="24.2" customHeight="1">
      <c r="B154" s="126"/>
      <c r="C154" s="127" t="s">
        <v>249</v>
      </c>
      <c r="D154" s="127" t="s">
        <v>144</v>
      </c>
      <c r="E154" s="128" t="s">
        <v>1423</v>
      </c>
      <c r="F154" s="129" t="s">
        <v>1422</v>
      </c>
      <c r="G154" s="130" t="s">
        <v>147</v>
      </c>
      <c r="H154" s="131">
        <v>14</v>
      </c>
      <c r="I154" s="132">
        <v>199</v>
      </c>
      <c r="J154" s="132">
        <f t="shared" si="10"/>
        <v>2786</v>
      </c>
      <c r="K154" s="129" t="s">
        <v>148</v>
      </c>
      <c r="L154" s="27"/>
      <c r="M154" s="133" t="s">
        <v>1</v>
      </c>
      <c r="N154" s="134" t="s">
        <v>39</v>
      </c>
      <c r="O154" s="135">
        <v>0.33500000000000002</v>
      </c>
      <c r="P154" s="135">
        <f t="shared" si="11"/>
        <v>4.6900000000000004</v>
      </c>
      <c r="Q154" s="135">
        <v>1.0000000000000001E-5</v>
      </c>
      <c r="R154" s="135">
        <f t="shared" si="12"/>
        <v>1.4000000000000001E-4</v>
      </c>
      <c r="S154" s="135">
        <v>0</v>
      </c>
      <c r="T154" s="136">
        <f t="shared" si="13"/>
        <v>0</v>
      </c>
      <c r="AR154" s="137" t="s">
        <v>206</v>
      </c>
      <c r="AT154" s="137" t="s">
        <v>144</v>
      </c>
      <c r="AU154" s="137" t="s">
        <v>143</v>
      </c>
      <c r="AY154" s="15" t="s">
        <v>141</v>
      </c>
      <c r="BE154" s="138">
        <f t="shared" si="14"/>
        <v>0</v>
      </c>
      <c r="BF154" s="138">
        <f t="shared" si="15"/>
        <v>2786</v>
      </c>
      <c r="BG154" s="138">
        <f t="shared" si="16"/>
        <v>0</v>
      </c>
      <c r="BH154" s="138">
        <f t="shared" si="17"/>
        <v>0</v>
      </c>
      <c r="BI154" s="138">
        <f t="shared" si="18"/>
        <v>0</v>
      </c>
      <c r="BJ154" s="15" t="s">
        <v>143</v>
      </c>
      <c r="BK154" s="138">
        <f t="shared" si="19"/>
        <v>2786</v>
      </c>
      <c r="BL154" s="15" t="s">
        <v>206</v>
      </c>
      <c r="BM154" s="137" t="s">
        <v>1421</v>
      </c>
    </row>
    <row r="155" spans="2:65" s="1" customFormat="1" ht="24.2" customHeight="1">
      <c r="B155" s="126"/>
      <c r="C155" s="127" t="s">
        <v>253</v>
      </c>
      <c r="D155" s="127" t="s">
        <v>144</v>
      </c>
      <c r="E155" s="128" t="s">
        <v>1420</v>
      </c>
      <c r="F155" s="129" t="s">
        <v>1419</v>
      </c>
      <c r="G155" s="130" t="s">
        <v>147</v>
      </c>
      <c r="H155" s="131">
        <v>18</v>
      </c>
      <c r="I155" s="132">
        <v>214</v>
      </c>
      <c r="J155" s="132">
        <f t="shared" si="10"/>
        <v>3852</v>
      </c>
      <c r="K155" s="129" t="s">
        <v>148</v>
      </c>
      <c r="L155" s="27"/>
      <c r="M155" s="133" t="s">
        <v>1</v>
      </c>
      <c r="N155" s="134" t="s">
        <v>39</v>
      </c>
      <c r="O155" s="135">
        <v>0.35</v>
      </c>
      <c r="P155" s="135">
        <f t="shared" si="11"/>
        <v>6.3</v>
      </c>
      <c r="Q155" s="135">
        <v>3.0000000000000001E-5</v>
      </c>
      <c r="R155" s="135">
        <f t="shared" si="12"/>
        <v>5.4000000000000001E-4</v>
      </c>
      <c r="S155" s="135">
        <v>0</v>
      </c>
      <c r="T155" s="136">
        <f t="shared" si="13"/>
        <v>0</v>
      </c>
      <c r="AR155" s="137" t="s">
        <v>206</v>
      </c>
      <c r="AT155" s="137" t="s">
        <v>144</v>
      </c>
      <c r="AU155" s="137" t="s">
        <v>143</v>
      </c>
      <c r="AY155" s="15" t="s">
        <v>141</v>
      </c>
      <c r="BE155" s="138">
        <f t="shared" si="14"/>
        <v>0</v>
      </c>
      <c r="BF155" s="138">
        <f t="shared" si="15"/>
        <v>3852</v>
      </c>
      <c r="BG155" s="138">
        <f t="shared" si="16"/>
        <v>0</v>
      </c>
      <c r="BH155" s="138">
        <f t="shared" si="17"/>
        <v>0</v>
      </c>
      <c r="BI155" s="138">
        <f t="shared" si="18"/>
        <v>0</v>
      </c>
      <c r="BJ155" s="15" t="s">
        <v>143</v>
      </c>
      <c r="BK155" s="138">
        <f t="shared" si="19"/>
        <v>3852</v>
      </c>
      <c r="BL155" s="15" t="s">
        <v>206</v>
      </c>
      <c r="BM155" s="137" t="s">
        <v>1418</v>
      </c>
    </row>
    <row r="156" spans="2:65" s="1" customFormat="1" ht="24.2" customHeight="1">
      <c r="B156" s="126"/>
      <c r="C156" s="127" t="s">
        <v>257</v>
      </c>
      <c r="D156" s="127" t="s">
        <v>144</v>
      </c>
      <c r="E156" s="128" t="s">
        <v>1417</v>
      </c>
      <c r="F156" s="129" t="s">
        <v>1416</v>
      </c>
      <c r="G156" s="130" t="s">
        <v>147</v>
      </c>
      <c r="H156" s="131">
        <v>4</v>
      </c>
      <c r="I156" s="132">
        <v>358</v>
      </c>
      <c r="J156" s="132">
        <f t="shared" si="10"/>
        <v>1432</v>
      </c>
      <c r="K156" s="129" t="s">
        <v>148</v>
      </c>
      <c r="L156" s="27"/>
      <c r="M156" s="133" t="s">
        <v>1</v>
      </c>
      <c r="N156" s="134" t="s">
        <v>39</v>
      </c>
      <c r="O156" s="135">
        <v>0.36399999999999999</v>
      </c>
      <c r="P156" s="135">
        <f t="shared" si="11"/>
        <v>1.456</v>
      </c>
      <c r="Q156" s="135">
        <v>6.0000000000000002E-5</v>
      </c>
      <c r="R156" s="135">
        <f t="shared" si="12"/>
        <v>2.4000000000000001E-4</v>
      </c>
      <c r="S156" s="135">
        <v>0</v>
      </c>
      <c r="T156" s="136">
        <f t="shared" si="13"/>
        <v>0</v>
      </c>
      <c r="AR156" s="137" t="s">
        <v>206</v>
      </c>
      <c r="AT156" s="137" t="s">
        <v>144</v>
      </c>
      <c r="AU156" s="137" t="s">
        <v>143</v>
      </c>
      <c r="AY156" s="15" t="s">
        <v>141</v>
      </c>
      <c r="BE156" s="138">
        <f t="shared" si="14"/>
        <v>0</v>
      </c>
      <c r="BF156" s="138">
        <f t="shared" si="15"/>
        <v>1432</v>
      </c>
      <c r="BG156" s="138">
        <f t="shared" si="16"/>
        <v>0</v>
      </c>
      <c r="BH156" s="138">
        <f t="shared" si="17"/>
        <v>0</v>
      </c>
      <c r="BI156" s="138">
        <f t="shared" si="18"/>
        <v>0</v>
      </c>
      <c r="BJ156" s="15" t="s">
        <v>143</v>
      </c>
      <c r="BK156" s="138">
        <f t="shared" si="19"/>
        <v>1432</v>
      </c>
      <c r="BL156" s="15" t="s">
        <v>206</v>
      </c>
      <c r="BM156" s="137" t="s">
        <v>1415</v>
      </c>
    </row>
    <row r="157" spans="2:65" s="1" customFormat="1" ht="24.2" customHeight="1">
      <c r="B157" s="126"/>
      <c r="C157" s="127" t="s">
        <v>261</v>
      </c>
      <c r="D157" s="127" t="s">
        <v>144</v>
      </c>
      <c r="E157" s="128" t="s">
        <v>1414</v>
      </c>
      <c r="F157" s="129" t="s">
        <v>1413</v>
      </c>
      <c r="G157" s="130" t="s">
        <v>147</v>
      </c>
      <c r="H157" s="131">
        <v>4</v>
      </c>
      <c r="I157" s="132">
        <v>2050</v>
      </c>
      <c r="J157" s="132">
        <f t="shared" si="10"/>
        <v>8200</v>
      </c>
      <c r="K157" s="129" t="s">
        <v>148</v>
      </c>
      <c r="L157" s="27"/>
      <c r="M157" s="133" t="s">
        <v>1</v>
      </c>
      <c r="N157" s="134" t="s">
        <v>39</v>
      </c>
      <c r="O157" s="135">
        <v>0.47199999999999998</v>
      </c>
      <c r="P157" s="135">
        <f t="shared" si="11"/>
        <v>1.8879999999999999</v>
      </c>
      <c r="Q157" s="135">
        <v>3.6999999999999999E-4</v>
      </c>
      <c r="R157" s="135">
        <f t="shared" si="12"/>
        <v>1.48E-3</v>
      </c>
      <c r="S157" s="135">
        <v>0</v>
      </c>
      <c r="T157" s="136">
        <f t="shared" si="13"/>
        <v>0</v>
      </c>
      <c r="AR157" s="137" t="s">
        <v>206</v>
      </c>
      <c r="AT157" s="137" t="s">
        <v>144</v>
      </c>
      <c r="AU157" s="137" t="s">
        <v>143</v>
      </c>
      <c r="AY157" s="15" t="s">
        <v>141</v>
      </c>
      <c r="BE157" s="138">
        <f t="shared" si="14"/>
        <v>0</v>
      </c>
      <c r="BF157" s="138">
        <f t="shared" si="15"/>
        <v>8200</v>
      </c>
      <c r="BG157" s="138">
        <f t="shared" si="16"/>
        <v>0</v>
      </c>
      <c r="BH157" s="138">
        <f t="shared" si="17"/>
        <v>0</v>
      </c>
      <c r="BI157" s="138">
        <f t="shared" si="18"/>
        <v>0</v>
      </c>
      <c r="BJ157" s="15" t="s">
        <v>143</v>
      </c>
      <c r="BK157" s="138">
        <f t="shared" si="19"/>
        <v>8200</v>
      </c>
      <c r="BL157" s="15" t="s">
        <v>206</v>
      </c>
      <c r="BM157" s="137" t="s">
        <v>1412</v>
      </c>
    </row>
    <row r="158" spans="2:65" s="1" customFormat="1" ht="24.2" customHeight="1">
      <c r="B158" s="126"/>
      <c r="C158" s="127" t="s">
        <v>270</v>
      </c>
      <c r="D158" s="127" t="s">
        <v>144</v>
      </c>
      <c r="E158" s="128" t="s">
        <v>1411</v>
      </c>
      <c r="F158" s="129" t="s">
        <v>1410</v>
      </c>
      <c r="G158" s="130" t="s">
        <v>193</v>
      </c>
      <c r="H158" s="131">
        <v>170</v>
      </c>
      <c r="I158" s="132">
        <v>22.4</v>
      </c>
      <c r="J158" s="132">
        <f t="shared" si="10"/>
        <v>3808</v>
      </c>
      <c r="K158" s="129" t="s">
        <v>148</v>
      </c>
      <c r="L158" s="27"/>
      <c r="M158" s="133" t="s">
        <v>1</v>
      </c>
      <c r="N158" s="134" t="s">
        <v>39</v>
      </c>
      <c r="O158" s="135">
        <v>3.7999999999999999E-2</v>
      </c>
      <c r="P158" s="135">
        <f t="shared" si="11"/>
        <v>6.46</v>
      </c>
      <c r="Q158" s="135">
        <v>0</v>
      </c>
      <c r="R158" s="135">
        <f t="shared" si="12"/>
        <v>0</v>
      </c>
      <c r="S158" s="135">
        <v>0</v>
      </c>
      <c r="T158" s="136">
        <f t="shared" si="13"/>
        <v>0</v>
      </c>
      <c r="AR158" s="137" t="s">
        <v>206</v>
      </c>
      <c r="AT158" s="137" t="s">
        <v>144</v>
      </c>
      <c r="AU158" s="137" t="s">
        <v>143</v>
      </c>
      <c r="AY158" s="15" t="s">
        <v>141</v>
      </c>
      <c r="BE158" s="138">
        <f t="shared" si="14"/>
        <v>0</v>
      </c>
      <c r="BF158" s="138">
        <f t="shared" si="15"/>
        <v>3808</v>
      </c>
      <c r="BG158" s="138">
        <f t="shared" si="16"/>
        <v>0</v>
      </c>
      <c r="BH158" s="138">
        <f t="shared" si="17"/>
        <v>0</v>
      </c>
      <c r="BI158" s="138">
        <f t="shared" si="18"/>
        <v>0</v>
      </c>
      <c r="BJ158" s="15" t="s">
        <v>143</v>
      </c>
      <c r="BK158" s="138">
        <f t="shared" si="19"/>
        <v>3808</v>
      </c>
      <c r="BL158" s="15" t="s">
        <v>206</v>
      </c>
      <c r="BM158" s="137" t="s">
        <v>1409</v>
      </c>
    </row>
    <row r="159" spans="2:65" s="1" customFormat="1" ht="24.2" customHeight="1">
      <c r="B159" s="126"/>
      <c r="C159" s="127" t="s">
        <v>274</v>
      </c>
      <c r="D159" s="127" t="s">
        <v>144</v>
      </c>
      <c r="E159" s="128" t="s">
        <v>1408</v>
      </c>
      <c r="F159" s="129" t="s">
        <v>1407</v>
      </c>
      <c r="G159" s="130" t="s">
        <v>193</v>
      </c>
      <c r="H159" s="131">
        <v>150</v>
      </c>
      <c r="I159" s="132">
        <v>27.5</v>
      </c>
      <c r="J159" s="132">
        <f t="shared" si="10"/>
        <v>4125</v>
      </c>
      <c r="K159" s="129" t="s">
        <v>148</v>
      </c>
      <c r="L159" s="27"/>
      <c r="M159" s="133" t="s">
        <v>1</v>
      </c>
      <c r="N159" s="134" t="s">
        <v>39</v>
      </c>
      <c r="O159" s="135">
        <v>4.5999999999999999E-2</v>
      </c>
      <c r="P159" s="135">
        <f t="shared" si="11"/>
        <v>6.8999999999999995</v>
      </c>
      <c r="Q159" s="135">
        <v>0</v>
      </c>
      <c r="R159" s="135">
        <f t="shared" si="12"/>
        <v>0</v>
      </c>
      <c r="S159" s="135">
        <v>0</v>
      </c>
      <c r="T159" s="136">
        <f t="shared" si="13"/>
        <v>0</v>
      </c>
      <c r="AR159" s="137" t="s">
        <v>206</v>
      </c>
      <c r="AT159" s="137" t="s">
        <v>144</v>
      </c>
      <c r="AU159" s="137" t="s">
        <v>143</v>
      </c>
      <c r="AY159" s="15" t="s">
        <v>141</v>
      </c>
      <c r="BE159" s="138">
        <f t="shared" si="14"/>
        <v>0</v>
      </c>
      <c r="BF159" s="138">
        <f t="shared" si="15"/>
        <v>4125</v>
      </c>
      <c r="BG159" s="138">
        <f t="shared" si="16"/>
        <v>0</v>
      </c>
      <c r="BH159" s="138">
        <f t="shared" si="17"/>
        <v>0</v>
      </c>
      <c r="BI159" s="138">
        <f t="shared" si="18"/>
        <v>0</v>
      </c>
      <c r="BJ159" s="15" t="s">
        <v>143</v>
      </c>
      <c r="BK159" s="138">
        <f t="shared" si="19"/>
        <v>4125</v>
      </c>
      <c r="BL159" s="15" t="s">
        <v>206</v>
      </c>
      <c r="BM159" s="137" t="s">
        <v>1406</v>
      </c>
    </row>
    <row r="160" spans="2:65" s="1" customFormat="1" ht="55.5" customHeight="1">
      <c r="B160" s="126"/>
      <c r="C160" s="127" t="s">
        <v>278</v>
      </c>
      <c r="D160" s="127" t="s">
        <v>144</v>
      </c>
      <c r="E160" s="128" t="s">
        <v>1405</v>
      </c>
      <c r="F160" s="129" t="s">
        <v>1404</v>
      </c>
      <c r="G160" s="130" t="s">
        <v>193</v>
      </c>
      <c r="H160" s="131">
        <v>110</v>
      </c>
      <c r="I160" s="132">
        <v>98.5</v>
      </c>
      <c r="J160" s="132">
        <f t="shared" si="10"/>
        <v>10835</v>
      </c>
      <c r="K160" s="129" t="s">
        <v>148</v>
      </c>
      <c r="L160" s="27"/>
      <c r="M160" s="133" t="s">
        <v>1</v>
      </c>
      <c r="N160" s="134" t="s">
        <v>39</v>
      </c>
      <c r="O160" s="135">
        <v>0.113</v>
      </c>
      <c r="P160" s="135">
        <f t="shared" si="11"/>
        <v>12.43</v>
      </c>
      <c r="Q160" s="135">
        <v>1.2E-4</v>
      </c>
      <c r="R160" s="135">
        <f t="shared" si="12"/>
        <v>1.32E-2</v>
      </c>
      <c r="S160" s="135">
        <v>0</v>
      </c>
      <c r="T160" s="136">
        <f t="shared" si="13"/>
        <v>0</v>
      </c>
      <c r="AR160" s="137" t="s">
        <v>206</v>
      </c>
      <c r="AT160" s="137" t="s">
        <v>144</v>
      </c>
      <c r="AU160" s="137" t="s">
        <v>143</v>
      </c>
      <c r="AY160" s="15" t="s">
        <v>141</v>
      </c>
      <c r="BE160" s="138">
        <f t="shared" si="14"/>
        <v>0</v>
      </c>
      <c r="BF160" s="138">
        <f t="shared" si="15"/>
        <v>10835</v>
      </c>
      <c r="BG160" s="138">
        <f t="shared" si="16"/>
        <v>0</v>
      </c>
      <c r="BH160" s="138">
        <f t="shared" si="17"/>
        <v>0</v>
      </c>
      <c r="BI160" s="138">
        <f t="shared" si="18"/>
        <v>0</v>
      </c>
      <c r="BJ160" s="15" t="s">
        <v>143</v>
      </c>
      <c r="BK160" s="138">
        <f t="shared" si="19"/>
        <v>10835</v>
      </c>
      <c r="BL160" s="15" t="s">
        <v>206</v>
      </c>
      <c r="BM160" s="137" t="s">
        <v>1403</v>
      </c>
    </row>
    <row r="161" spans="2:65" s="1" customFormat="1" ht="55.5" customHeight="1">
      <c r="B161" s="126"/>
      <c r="C161" s="127" t="s">
        <v>282</v>
      </c>
      <c r="D161" s="127" t="s">
        <v>144</v>
      </c>
      <c r="E161" s="128" t="s">
        <v>1402</v>
      </c>
      <c r="F161" s="129" t="s">
        <v>1401</v>
      </c>
      <c r="G161" s="130" t="s">
        <v>193</v>
      </c>
      <c r="H161" s="131">
        <v>80</v>
      </c>
      <c r="I161" s="132">
        <v>169</v>
      </c>
      <c r="J161" s="132">
        <f t="shared" si="10"/>
        <v>13520</v>
      </c>
      <c r="K161" s="129" t="s">
        <v>148</v>
      </c>
      <c r="L161" s="27"/>
      <c r="M161" s="133" t="s">
        <v>1</v>
      </c>
      <c r="N161" s="134" t="s">
        <v>39</v>
      </c>
      <c r="O161" s="135">
        <v>0.11799999999999999</v>
      </c>
      <c r="P161" s="135">
        <f t="shared" si="11"/>
        <v>9.44</v>
      </c>
      <c r="Q161" s="135">
        <v>2.4000000000000001E-4</v>
      </c>
      <c r="R161" s="135">
        <f t="shared" si="12"/>
        <v>1.9200000000000002E-2</v>
      </c>
      <c r="S161" s="135">
        <v>0</v>
      </c>
      <c r="T161" s="136">
        <f t="shared" si="13"/>
        <v>0</v>
      </c>
      <c r="AR161" s="137" t="s">
        <v>206</v>
      </c>
      <c r="AT161" s="137" t="s">
        <v>144</v>
      </c>
      <c r="AU161" s="137" t="s">
        <v>143</v>
      </c>
      <c r="AY161" s="15" t="s">
        <v>141</v>
      </c>
      <c r="BE161" s="138">
        <f t="shared" si="14"/>
        <v>0</v>
      </c>
      <c r="BF161" s="138">
        <f t="shared" si="15"/>
        <v>13520</v>
      </c>
      <c r="BG161" s="138">
        <f t="shared" si="16"/>
        <v>0</v>
      </c>
      <c r="BH161" s="138">
        <f t="shared" si="17"/>
        <v>0</v>
      </c>
      <c r="BI161" s="138">
        <f t="shared" si="18"/>
        <v>0</v>
      </c>
      <c r="BJ161" s="15" t="s">
        <v>143</v>
      </c>
      <c r="BK161" s="138">
        <f t="shared" si="19"/>
        <v>13520</v>
      </c>
      <c r="BL161" s="15" t="s">
        <v>206</v>
      </c>
      <c r="BM161" s="137" t="s">
        <v>1400</v>
      </c>
    </row>
    <row r="162" spans="2:65" s="1" customFormat="1" ht="24.2" customHeight="1">
      <c r="B162" s="126"/>
      <c r="C162" s="139" t="s">
        <v>286</v>
      </c>
      <c r="D162" s="139" t="s">
        <v>207</v>
      </c>
      <c r="E162" s="140" t="s">
        <v>1399</v>
      </c>
      <c r="F162" s="141" t="s">
        <v>1398</v>
      </c>
      <c r="G162" s="142" t="s">
        <v>193</v>
      </c>
      <c r="H162" s="143">
        <v>150</v>
      </c>
      <c r="I162" s="144">
        <v>263</v>
      </c>
      <c r="J162" s="144">
        <f t="shared" si="10"/>
        <v>39450</v>
      </c>
      <c r="K162" s="141" t="s">
        <v>148</v>
      </c>
      <c r="L162" s="145"/>
      <c r="M162" s="146" t="s">
        <v>1</v>
      </c>
      <c r="N162" s="147" t="s">
        <v>39</v>
      </c>
      <c r="O162" s="135">
        <v>0</v>
      </c>
      <c r="P162" s="135">
        <f t="shared" si="11"/>
        <v>0</v>
      </c>
      <c r="Q162" s="135">
        <v>9.2000000000000003E-4</v>
      </c>
      <c r="R162" s="135">
        <f t="shared" si="12"/>
        <v>0.13800000000000001</v>
      </c>
      <c r="S162" s="135">
        <v>0</v>
      </c>
      <c r="T162" s="136">
        <f t="shared" si="13"/>
        <v>0</v>
      </c>
      <c r="AR162" s="137" t="s">
        <v>274</v>
      </c>
      <c r="AT162" s="137" t="s">
        <v>207</v>
      </c>
      <c r="AU162" s="137" t="s">
        <v>143</v>
      </c>
      <c r="AY162" s="15" t="s">
        <v>141</v>
      </c>
      <c r="BE162" s="138">
        <f t="shared" si="14"/>
        <v>0</v>
      </c>
      <c r="BF162" s="138">
        <f t="shared" si="15"/>
        <v>39450</v>
      </c>
      <c r="BG162" s="138">
        <f t="shared" si="16"/>
        <v>0</v>
      </c>
      <c r="BH162" s="138">
        <f t="shared" si="17"/>
        <v>0</v>
      </c>
      <c r="BI162" s="138">
        <f t="shared" si="18"/>
        <v>0</v>
      </c>
      <c r="BJ162" s="15" t="s">
        <v>143</v>
      </c>
      <c r="BK162" s="138">
        <f t="shared" si="19"/>
        <v>39450</v>
      </c>
      <c r="BL162" s="15" t="s">
        <v>206</v>
      </c>
      <c r="BM162" s="137" t="s">
        <v>1397</v>
      </c>
    </row>
    <row r="163" spans="2:65" s="1" customFormat="1" ht="55.5" customHeight="1">
      <c r="B163" s="126"/>
      <c r="C163" s="127" t="s">
        <v>290</v>
      </c>
      <c r="D163" s="127" t="s">
        <v>144</v>
      </c>
      <c r="E163" s="128" t="s">
        <v>1396</v>
      </c>
      <c r="F163" s="129" t="s">
        <v>1395</v>
      </c>
      <c r="G163" s="130" t="s">
        <v>193</v>
      </c>
      <c r="H163" s="131">
        <v>20</v>
      </c>
      <c r="I163" s="132">
        <v>203</v>
      </c>
      <c r="J163" s="132">
        <f t="shared" si="10"/>
        <v>4060</v>
      </c>
      <c r="K163" s="129" t="s">
        <v>148</v>
      </c>
      <c r="L163" s="27"/>
      <c r="M163" s="133" t="s">
        <v>1</v>
      </c>
      <c r="N163" s="134" t="s">
        <v>39</v>
      </c>
      <c r="O163" s="135">
        <v>0.11799999999999999</v>
      </c>
      <c r="P163" s="135">
        <f t="shared" si="11"/>
        <v>2.36</v>
      </c>
      <c r="Q163" s="135">
        <v>2.7E-4</v>
      </c>
      <c r="R163" s="135">
        <f t="shared" si="12"/>
        <v>5.4000000000000003E-3</v>
      </c>
      <c r="S163" s="135">
        <v>0</v>
      </c>
      <c r="T163" s="136">
        <f t="shared" si="13"/>
        <v>0</v>
      </c>
      <c r="AR163" s="137" t="s">
        <v>206</v>
      </c>
      <c r="AT163" s="137" t="s">
        <v>144</v>
      </c>
      <c r="AU163" s="137" t="s">
        <v>143</v>
      </c>
      <c r="AY163" s="15" t="s">
        <v>141</v>
      </c>
      <c r="BE163" s="138">
        <f t="shared" si="14"/>
        <v>0</v>
      </c>
      <c r="BF163" s="138">
        <f t="shared" si="15"/>
        <v>4060</v>
      </c>
      <c r="BG163" s="138">
        <f t="shared" si="16"/>
        <v>0</v>
      </c>
      <c r="BH163" s="138">
        <f t="shared" si="17"/>
        <v>0</v>
      </c>
      <c r="BI163" s="138">
        <f t="shared" si="18"/>
        <v>0</v>
      </c>
      <c r="BJ163" s="15" t="s">
        <v>143</v>
      </c>
      <c r="BK163" s="138">
        <f t="shared" si="19"/>
        <v>4060</v>
      </c>
      <c r="BL163" s="15" t="s">
        <v>206</v>
      </c>
      <c r="BM163" s="137" t="s">
        <v>1394</v>
      </c>
    </row>
    <row r="164" spans="2:65" s="1" customFormat="1" ht="44.25" customHeight="1">
      <c r="B164" s="126"/>
      <c r="C164" s="127" t="s">
        <v>294</v>
      </c>
      <c r="D164" s="127" t="s">
        <v>144</v>
      </c>
      <c r="E164" s="128" t="s">
        <v>1393</v>
      </c>
      <c r="F164" s="129" t="s">
        <v>1392</v>
      </c>
      <c r="G164" s="130" t="s">
        <v>179</v>
      </c>
      <c r="H164" s="131">
        <v>0.57399999999999995</v>
      </c>
      <c r="I164" s="132">
        <v>1450</v>
      </c>
      <c r="J164" s="132">
        <f t="shared" si="10"/>
        <v>832.3</v>
      </c>
      <c r="K164" s="129" t="s">
        <v>148</v>
      </c>
      <c r="L164" s="27"/>
      <c r="M164" s="133" t="s">
        <v>1</v>
      </c>
      <c r="N164" s="134" t="s">
        <v>39</v>
      </c>
      <c r="O164" s="135">
        <v>3.4630000000000001</v>
      </c>
      <c r="P164" s="135">
        <f t="shared" si="11"/>
        <v>1.9877619999999998</v>
      </c>
      <c r="Q164" s="135">
        <v>0</v>
      </c>
      <c r="R164" s="135">
        <f t="shared" si="12"/>
        <v>0</v>
      </c>
      <c r="S164" s="135">
        <v>0</v>
      </c>
      <c r="T164" s="136">
        <f t="shared" si="13"/>
        <v>0</v>
      </c>
      <c r="AR164" s="137" t="s">
        <v>206</v>
      </c>
      <c r="AT164" s="137" t="s">
        <v>144</v>
      </c>
      <c r="AU164" s="137" t="s">
        <v>143</v>
      </c>
      <c r="AY164" s="15" t="s">
        <v>141</v>
      </c>
      <c r="BE164" s="138">
        <f t="shared" si="14"/>
        <v>0</v>
      </c>
      <c r="BF164" s="138">
        <f t="shared" si="15"/>
        <v>832.3</v>
      </c>
      <c r="BG164" s="138">
        <f t="shared" si="16"/>
        <v>0</v>
      </c>
      <c r="BH164" s="138">
        <f t="shared" si="17"/>
        <v>0</v>
      </c>
      <c r="BI164" s="138">
        <f t="shared" si="18"/>
        <v>0</v>
      </c>
      <c r="BJ164" s="15" t="s">
        <v>143</v>
      </c>
      <c r="BK164" s="138">
        <f t="shared" si="19"/>
        <v>832.3</v>
      </c>
      <c r="BL164" s="15" t="s">
        <v>206</v>
      </c>
      <c r="BM164" s="137" t="s">
        <v>1391</v>
      </c>
    </row>
    <row r="165" spans="2:65" s="11" customFormat="1" ht="22.9" customHeight="1">
      <c r="B165" s="115"/>
      <c r="D165" s="116" t="s">
        <v>72</v>
      </c>
      <c r="E165" s="124" t="s">
        <v>1390</v>
      </c>
      <c r="F165" s="124" t="s">
        <v>1389</v>
      </c>
      <c r="J165" s="125">
        <f>BK165</f>
        <v>59389.75</v>
      </c>
      <c r="L165" s="115"/>
      <c r="M165" s="119"/>
      <c r="P165" s="120">
        <f>SUM(P166:P186)</f>
        <v>15.541500000000001</v>
      </c>
      <c r="R165" s="120">
        <f>SUM(R166:R186)</f>
        <v>5.5390000000000002E-2</v>
      </c>
      <c r="T165" s="121">
        <f>SUM(T166:T186)</f>
        <v>0</v>
      </c>
      <c r="AR165" s="116" t="s">
        <v>143</v>
      </c>
      <c r="AT165" s="122" t="s">
        <v>72</v>
      </c>
      <c r="AU165" s="122" t="s">
        <v>81</v>
      </c>
      <c r="AY165" s="116" t="s">
        <v>141</v>
      </c>
      <c r="BK165" s="123">
        <f>SUM(BK166:BK186)</f>
        <v>59389.75</v>
      </c>
    </row>
    <row r="166" spans="2:65" s="1" customFormat="1" ht="24.2" customHeight="1">
      <c r="B166" s="126"/>
      <c r="C166" s="127" t="s">
        <v>298</v>
      </c>
      <c r="D166" s="127" t="s">
        <v>144</v>
      </c>
      <c r="E166" s="128" t="s">
        <v>1388</v>
      </c>
      <c r="F166" s="129" t="s">
        <v>1387</v>
      </c>
      <c r="G166" s="130" t="s">
        <v>147</v>
      </c>
      <c r="H166" s="131">
        <v>4</v>
      </c>
      <c r="I166" s="132">
        <v>284</v>
      </c>
      <c r="J166" s="132">
        <f t="shared" ref="J166:J186" si="20">ROUND(I166*H166,2)</f>
        <v>1136</v>
      </c>
      <c r="K166" s="129" t="s">
        <v>148</v>
      </c>
      <c r="L166" s="27"/>
      <c r="M166" s="133" t="s">
        <v>1</v>
      </c>
      <c r="N166" s="134" t="s">
        <v>39</v>
      </c>
      <c r="O166" s="135">
        <v>6.2E-2</v>
      </c>
      <c r="P166" s="135">
        <f t="shared" ref="P166:P186" si="21">O166*H166</f>
        <v>0.248</v>
      </c>
      <c r="Q166" s="135">
        <v>2.5000000000000001E-4</v>
      </c>
      <c r="R166" s="135">
        <f t="shared" ref="R166:R186" si="22">Q166*H166</f>
        <v>1E-3</v>
      </c>
      <c r="S166" s="135">
        <v>0</v>
      </c>
      <c r="T166" s="136">
        <f t="shared" ref="T166:T186" si="23">S166*H166</f>
        <v>0</v>
      </c>
      <c r="AR166" s="137" t="s">
        <v>206</v>
      </c>
      <c r="AT166" s="137" t="s">
        <v>144</v>
      </c>
      <c r="AU166" s="137" t="s">
        <v>143</v>
      </c>
      <c r="AY166" s="15" t="s">
        <v>141</v>
      </c>
      <c r="BE166" s="138">
        <f t="shared" ref="BE166:BE186" si="24">IF(N166="základní",J166,0)</f>
        <v>0</v>
      </c>
      <c r="BF166" s="138">
        <f t="shared" ref="BF166:BF186" si="25">IF(N166="snížená",J166,0)</f>
        <v>1136</v>
      </c>
      <c r="BG166" s="138">
        <f t="shared" ref="BG166:BG186" si="26">IF(N166="zákl. přenesená",J166,0)</f>
        <v>0</v>
      </c>
      <c r="BH166" s="138">
        <f t="shared" ref="BH166:BH186" si="27">IF(N166="sníž. přenesená",J166,0)</f>
        <v>0</v>
      </c>
      <c r="BI166" s="138">
        <f t="shared" ref="BI166:BI186" si="28">IF(N166="nulová",J166,0)</f>
        <v>0</v>
      </c>
      <c r="BJ166" s="15" t="s">
        <v>143</v>
      </c>
      <c r="BK166" s="138">
        <f t="shared" ref="BK166:BK186" si="29">ROUND(I166*H166,2)</f>
        <v>1136</v>
      </c>
      <c r="BL166" s="15" t="s">
        <v>206</v>
      </c>
      <c r="BM166" s="137" t="s">
        <v>1386</v>
      </c>
    </row>
    <row r="167" spans="2:65" s="1" customFormat="1" ht="33" customHeight="1">
      <c r="B167" s="126"/>
      <c r="C167" s="127" t="s">
        <v>302</v>
      </c>
      <c r="D167" s="127" t="s">
        <v>144</v>
      </c>
      <c r="E167" s="128" t="s">
        <v>1385</v>
      </c>
      <c r="F167" s="129" t="s">
        <v>1384</v>
      </c>
      <c r="G167" s="130" t="s">
        <v>147</v>
      </c>
      <c r="H167" s="131">
        <v>7</v>
      </c>
      <c r="I167" s="132">
        <v>435</v>
      </c>
      <c r="J167" s="132">
        <f t="shared" si="20"/>
        <v>3045</v>
      </c>
      <c r="K167" s="129" t="s">
        <v>148</v>
      </c>
      <c r="L167" s="27"/>
      <c r="M167" s="133" t="s">
        <v>1</v>
      </c>
      <c r="N167" s="134" t="s">
        <v>39</v>
      </c>
      <c r="O167" s="135">
        <v>0.15</v>
      </c>
      <c r="P167" s="135">
        <f t="shared" si="21"/>
        <v>1.05</v>
      </c>
      <c r="Q167" s="135">
        <v>2.7999999999999998E-4</v>
      </c>
      <c r="R167" s="135">
        <f t="shared" si="22"/>
        <v>1.9599999999999999E-3</v>
      </c>
      <c r="S167" s="135">
        <v>0</v>
      </c>
      <c r="T167" s="136">
        <f t="shared" si="23"/>
        <v>0</v>
      </c>
      <c r="AR167" s="137" t="s">
        <v>206</v>
      </c>
      <c r="AT167" s="137" t="s">
        <v>144</v>
      </c>
      <c r="AU167" s="137" t="s">
        <v>143</v>
      </c>
      <c r="AY167" s="15" t="s">
        <v>141</v>
      </c>
      <c r="BE167" s="138">
        <f t="shared" si="24"/>
        <v>0</v>
      </c>
      <c r="BF167" s="138">
        <f t="shared" si="25"/>
        <v>3045</v>
      </c>
      <c r="BG167" s="138">
        <f t="shared" si="26"/>
        <v>0</v>
      </c>
      <c r="BH167" s="138">
        <f t="shared" si="27"/>
        <v>0</v>
      </c>
      <c r="BI167" s="138">
        <f t="shared" si="28"/>
        <v>0</v>
      </c>
      <c r="BJ167" s="15" t="s">
        <v>143</v>
      </c>
      <c r="BK167" s="138">
        <f t="shared" si="29"/>
        <v>3045</v>
      </c>
      <c r="BL167" s="15" t="s">
        <v>206</v>
      </c>
      <c r="BM167" s="137" t="s">
        <v>1383</v>
      </c>
    </row>
    <row r="168" spans="2:65" s="1" customFormat="1" ht="37.9" customHeight="1">
      <c r="B168" s="126"/>
      <c r="C168" s="127" t="s">
        <v>306</v>
      </c>
      <c r="D168" s="127" t="s">
        <v>144</v>
      </c>
      <c r="E168" s="128" t="s">
        <v>1382</v>
      </c>
      <c r="F168" s="129" t="s">
        <v>1381</v>
      </c>
      <c r="G168" s="130" t="s">
        <v>147</v>
      </c>
      <c r="H168" s="131">
        <v>7</v>
      </c>
      <c r="I168" s="132">
        <v>222</v>
      </c>
      <c r="J168" s="132">
        <f t="shared" si="20"/>
        <v>1554</v>
      </c>
      <c r="K168" s="129" t="s">
        <v>148</v>
      </c>
      <c r="L168" s="27"/>
      <c r="M168" s="133" t="s">
        <v>1</v>
      </c>
      <c r="N168" s="134" t="s">
        <v>39</v>
      </c>
      <c r="O168" s="135">
        <v>3.5000000000000003E-2</v>
      </c>
      <c r="P168" s="135">
        <f t="shared" si="21"/>
        <v>0.24500000000000002</v>
      </c>
      <c r="Q168" s="135">
        <v>1.3999999999999999E-4</v>
      </c>
      <c r="R168" s="135">
        <f t="shared" si="22"/>
        <v>9.7999999999999997E-4</v>
      </c>
      <c r="S168" s="135">
        <v>0</v>
      </c>
      <c r="T168" s="136">
        <f t="shared" si="23"/>
        <v>0</v>
      </c>
      <c r="AR168" s="137" t="s">
        <v>206</v>
      </c>
      <c r="AT168" s="137" t="s">
        <v>144</v>
      </c>
      <c r="AU168" s="137" t="s">
        <v>143</v>
      </c>
      <c r="AY168" s="15" t="s">
        <v>141</v>
      </c>
      <c r="BE168" s="138">
        <f t="shared" si="24"/>
        <v>0</v>
      </c>
      <c r="BF168" s="138">
        <f t="shared" si="25"/>
        <v>1554</v>
      </c>
      <c r="BG168" s="138">
        <f t="shared" si="26"/>
        <v>0</v>
      </c>
      <c r="BH168" s="138">
        <f t="shared" si="27"/>
        <v>0</v>
      </c>
      <c r="BI168" s="138">
        <f t="shared" si="28"/>
        <v>0</v>
      </c>
      <c r="BJ168" s="15" t="s">
        <v>143</v>
      </c>
      <c r="BK168" s="138">
        <f t="shared" si="29"/>
        <v>1554</v>
      </c>
      <c r="BL168" s="15" t="s">
        <v>206</v>
      </c>
      <c r="BM168" s="137" t="s">
        <v>1380</v>
      </c>
    </row>
    <row r="169" spans="2:65" s="1" customFormat="1" ht="21.75" customHeight="1">
      <c r="B169" s="126"/>
      <c r="C169" s="127" t="s">
        <v>310</v>
      </c>
      <c r="D169" s="127" t="s">
        <v>144</v>
      </c>
      <c r="E169" s="128" t="s">
        <v>1379</v>
      </c>
      <c r="F169" s="129" t="s">
        <v>1378</v>
      </c>
      <c r="G169" s="130" t="s">
        <v>147</v>
      </c>
      <c r="H169" s="131">
        <v>1</v>
      </c>
      <c r="I169" s="132">
        <v>443</v>
      </c>
      <c r="J169" s="132">
        <f t="shared" si="20"/>
        <v>443</v>
      </c>
      <c r="K169" s="129" t="s">
        <v>148</v>
      </c>
      <c r="L169" s="27"/>
      <c r="M169" s="133" t="s">
        <v>1</v>
      </c>
      <c r="N169" s="134" t="s">
        <v>39</v>
      </c>
      <c r="O169" s="135">
        <v>0.22700000000000001</v>
      </c>
      <c r="P169" s="135">
        <f t="shared" si="21"/>
        <v>0.22700000000000001</v>
      </c>
      <c r="Q169" s="135">
        <v>5.2999999999999998E-4</v>
      </c>
      <c r="R169" s="135">
        <f t="shared" si="22"/>
        <v>5.2999999999999998E-4</v>
      </c>
      <c r="S169" s="135">
        <v>0</v>
      </c>
      <c r="T169" s="136">
        <f t="shared" si="23"/>
        <v>0</v>
      </c>
      <c r="AR169" s="137" t="s">
        <v>206</v>
      </c>
      <c r="AT169" s="137" t="s">
        <v>144</v>
      </c>
      <c r="AU169" s="137" t="s">
        <v>143</v>
      </c>
      <c r="AY169" s="15" t="s">
        <v>141</v>
      </c>
      <c r="BE169" s="138">
        <f t="shared" si="24"/>
        <v>0</v>
      </c>
      <c r="BF169" s="138">
        <f t="shared" si="25"/>
        <v>443</v>
      </c>
      <c r="BG169" s="138">
        <f t="shared" si="26"/>
        <v>0</v>
      </c>
      <c r="BH169" s="138">
        <f t="shared" si="27"/>
        <v>0</v>
      </c>
      <c r="BI169" s="138">
        <f t="shared" si="28"/>
        <v>0</v>
      </c>
      <c r="BJ169" s="15" t="s">
        <v>143</v>
      </c>
      <c r="BK169" s="138">
        <f t="shared" si="29"/>
        <v>443</v>
      </c>
      <c r="BL169" s="15" t="s">
        <v>206</v>
      </c>
      <c r="BM169" s="137" t="s">
        <v>1377</v>
      </c>
    </row>
    <row r="170" spans="2:65" s="1" customFormat="1" ht="21.75" customHeight="1">
      <c r="B170" s="126"/>
      <c r="C170" s="127" t="s">
        <v>314</v>
      </c>
      <c r="D170" s="127" t="s">
        <v>144</v>
      </c>
      <c r="E170" s="128" t="s">
        <v>1376</v>
      </c>
      <c r="F170" s="129" t="s">
        <v>1375</v>
      </c>
      <c r="G170" s="130" t="s">
        <v>147</v>
      </c>
      <c r="H170" s="131">
        <v>2</v>
      </c>
      <c r="I170" s="132">
        <v>645</v>
      </c>
      <c r="J170" s="132">
        <f t="shared" si="20"/>
        <v>1290</v>
      </c>
      <c r="K170" s="129" t="s">
        <v>148</v>
      </c>
      <c r="L170" s="27"/>
      <c r="M170" s="133" t="s">
        <v>1</v>
      </c>
      <c r="N170" s="134" t="s">
        <v>39</v>
      </c>
      <c r="O170" s="135">
        <v>0.26800000000000002</v>
      </c>
      <c r="P170" s="135">
        <f t="shared" si="21"/>
        <v>0.53600000000000003</v>
      </c>
      <c r="Q170" s="135">
        <v>8.4000000000000003E-4</v>
      </c>
      <c r="R170" s="135">
        <f t="shared" si="22"/>
        <v>1.6800000000000001E-3</v>
      </c>
      <c r="S170" s="135">
        <v>0</v>
      </c>
      <c r="T170" s="136">
        <f t="shared" si="23"/>
        <v>0</v>
      </c>
      <c r="AR170" s="137" t="s">
        <v>206</v>
      </c>
      <c r="AT170" s="137" t="s">
        <v>144</v>
      </c>
      <c r="AU170" s="137" t="s">
        <v>143</v>
      </c>
      <c r="AY170" s="15" t="s">
        <v>141</v>
      </c>
      <c r="BE170" s="138">
        <f t="shared" si="24"/>
        <v>0</v>
      </c>
      <c r="BF170" s="138">
        <f t="shared" si="25"/>
        <v>1290</v>
      </c>
      <c r="BG170" s="138">
        <f t="shared" si="26"/>
        <v>0</v>
      </c>
      <c r="BH170" s="138">
        <f t="shared" si="27"/>
        <v>0</v>
      </c>
      <c r="BI170" s="138">
        <f t="shared" si="28"/>
        <v>0</v>
      </c>
      <c r="BJ170" s="15" t="s">
        <v>143</v>
      </c>
      <c r="BK170" s="138">
        <f t="shared" si="29"/>
        <v>1290</v>
      </c>
      <c r="BL170" s="15" t="s">
        <v>206</v>
      </c>
      <c r="BM170" s="137" t="s">
        <v>1374</v>
      </c>
    </row>
    <row r="171" spans="2:65" s="1" customFormat="1" ht="21.75" customHeight="1">
      <c r="B171" s="126"/>
      <c r="C171" s="127" t="s">
        <v>318</v>
      </c>
      <c r="D171" s="127" t="s">
        <v>144</v>
      </c>
      <c r="E171" s="128" t="s">
        <v>1373</v>
      </c>
      <c r="F171" s="129" t="s">
        <v>1372</v>
      </c>
      <c r="G171" s="130" t="s">
        <v>147</v>
      </c>
      <c r="H171" s="131">
        <v>1</v>
      </c>
      <c r="I171" s="132">
        <v>1170</v>
      </c>
      <c r="J171" s="132">
        <f t="shared" si="20"/>
        <v>1170</v>
      </c>
      <c r="K171" s="129" t="s">
        <v>148</v>
      </c>
      <c r="L171" s="27"/>
      <c r="M171" s="133" t="s">
        <v>1</v>
      </c>
      <c r="N171" s="134" t="s">
        <v>39</v>
      </c>
      <c r="O171" s="135">
        <v>0.42199999999999999</v>
      </c>
      <c r="P171" s="135">
        <f t="shared" si="21"/>
        <v>0.42199999999999999</v>
      </c>
      <c r="Q171" s="135">
        <v>7.7999999999999999E-4</v>
      </c>
      <c r="R171" s="135">
        <f t="shared" si="22"/>
        <v>7.7999999999999999E-4</v>
      </c>
      <c r="S171" s="135">
        <v>0</v>
      </c>
      <c r="T171" s="136">
        <f t="shared" si="23"/>
        <v>0</v>
      </c>
      <c r="AR171" s="137" t="s">
        <v>206</v>
      </c>
      <c r="AT171" s="137" t="s">
        <v>144</v>
      </c>
      <c r="AU171" s="137" t="s">
        <v>143</v>
      </c>
      <c r="AY171" s="15" t="s">
        <v>141</v>
      </c>
      <c r="BE171" s="138">
        <f t="shared" si="24"/>
        <v>0</v>
      </c>
      <c r="BF171" s="138">
        <f t="shared" si="25"/>
        <v>1170</v>
      </c>
      <c r="BG171" s="138">
        <f t="shared" si="26"/>
        <v>0</v>
      </c>
      <c r="BH171" s="138">
        <f t="shared" si="27"/>
        <v>0</v>
      </c>
      <c r="BI171" s="138">
        <f t="shared" si="28"/>
        <v>0</v>
      </c>
      <c r="BJ171" s="15" t="s">
        <v>143</v>
      </c>
      <c r="BK171" s="138">
        <f t="shared" si="29"/>
        <v>1170</v>
      </c>
      <c r="BL171" s="15" t="s">
        <v>206</v>
      </c>
      <c r="BM171" s="137" t="s">
        <v>1371</v>
      </c>
    </row>
    <row r="172" spans="2:65" s="1" customFormat="1" ht="21.75" customHeight="1">
      <c r="B172" s="126"/>
      <c r="C172" s="127" t="s">
        <v>322</v>
      </c>
      <c r="D172" s="127" t="s">
        <v>144</v>
      </c>
      <c r="E172" s="128" t="s">
        <v>1370</v>
      </c>
      <c r="F172" s="129" t="s">
        <v>1369</v>
      </c>
      <c r="G172" s="130" t="s">
        <v>147</v>
      </c>
      <c r="H172" s="131">
        <v>1</v>
      </c>
      <c r="I172" s="132">
        <v>371</v>
      </c>
      <c r="J172" s="132">
        <f t="shared" si="20"/>
        <v>371</v>
      </c>
      <c r="K172" s="129" t="s">
        <v>148</v>
      </c>
      <c r="L172" s="27"/>
      <c r="M172" s="133" t="s">
        <v>1</v>
      </c>
      <c r="N172" s="134" t="s">
        <v>39</v>
      </c>
      <c r="O172" s="135">
        <v>0.10299999999999999</v>
      </c>
      <c r="P172" s="135">
        <f t="shared" si="21"/>
        <v>0.10299999999999999</v>
      </c>
      <c r="Q172" s="135">
        <v>4.4000000000000002E-4</v>
      </c>
      <c r="R172" s="135">
        <f t="shared" si="22"/>
        <v>4.4000000000000002E-4</v>
      </c>
      <c r="S172" s="135">
        <v>0</v>
      </c>
      <c r="T172" s="136">
        <f t="shared" si="23"/>
        <v>0</v>
      </c>
      <c r="AR172" s="137" t="s">
        <v>206</v>
      </c>
      <c r="AT172" s="137" t="s">
        <v>144</v>
      </c>
      <c r="AU172" s="137" t="s">
        <v>143</v>
      </c>
      <c r="AY172" s="15" t="s">
        <v>141</v>
      </c>
      <c r="BE172" s="138">
        <f t="shared" si="24"/>
        <v>0</v>
      </c>
      <c r="BF172" s="138">
        <f t="shared" si="25"/>
        <v>371</v>
      </c>
      <c r="BG172" s="138">
        <f t="shared" si="26"/>
        <v>0</v>
      </c>
      <c r="BH172" s="138">
        <f t="shared" si="27"/>
        <v>0</v>
      </c>
      <c r="BI172" s="138">
        <f t="shared" si="28"/>
        <v>0</v>
      </c>
      <c r="BJ172" s="15" t="s">
        <v>143</v>
      </c>
      <c r="BK172" s="138">
        <f t="shared" si="29"/>
        <v>371</v>
      </c>
      <c r="BL172" s="15" t="s">
        <v>206</v>
      </c>
      <c r="BM172" s="137" t="s">
        <v>1368</v>
      </c>
    </row>
    <row r="173" spans="2:65" s="1" customFormat="1" ht="21.75" customHeight="1">
      <c r="B173" s="126"/>
      <c r="C173" s="127" t="s">
        <v>326</v>
      </c>
      <c r="D173" s="127" t="s">
        <v>144</v>
      </c>
      <c r="E173" s="128" t="s">
        <v>1367</v>
      </c>
      <c r="F173" s="129" t="s">
        <v>1366</v>
      </c>
      <c r="G173" s="130" t="s">
        <v>147</v>
      </c>
      <c r="H173" s="131">
        <v>12</v>
      </c>
      <c r="I173" s="132">
        <v>586</v>
      </c>
      <c r="J173" s="132">
        <f t="shared" si="20"/>
        <v>7032</v>
      </c>
      <c r="K173" s="129" t="s">
        <v>148</v>
      </c>
      <c r="L173" s="27"/>
      <c r="M173" s="133" t="s">
        <v>1</v>
      </c>
      <c r="N173" s="134" t="s">
        <v>39</v>
      </c>
      <c r="O173" s="135">
        <v>0.124</v>
      </c>
      <c r="P173" s="135">
        <f t="shared" si="21"/>
        <v>1.488</v>
      </c>
      <c r="Q173" s="135">
        <v>7.5000000000000002E-4</v>
      </c>
      <c r="R173" s="135">
        <f t="shared" si="22"/>
        <v>9.0000000000000011E-3</v>
      </c>
      <c r="S173" s="135">
        <v>0</v>
      </c>
      <c r="T173" s="136">
        <f t="shared" si="23"/>
        <v>0</v>
      </c>
      <c r="AR173" s="137" t="s">
        <v>206</v>
      </c>
      <c r="AT173" s="137" t="s">
        <v>144</v>
      </c>
      <c r="AU173" s="137" t="s">
        <v>143</v>
      </c>
      <c r="AY173" s="15" t="s">
        <v>141</v>
      </c>
      <c r="BE173" s="138">
        <f t="shared" si="24"/>
        <v>0</v>
      </c>
      <c r="BF173" s="138">
        <f t="shared" si="25"/>
        <v>7032</v>
      </c>
      <c r="BG173" s="138">
        <f t="shared" si="26"/>
        <v>0</v>
      </c>
      <c r="BH173" s="138">
        <f t="shared" si="27"/>
        <v>0</v>
      </c>
      <c r="BI173" s="138">
        <f t="shared" si="28"/>
        <v>0</v>
      </c>
      <c r="BJ173" s="15" t="s">
        <v>143</v>
      </c>
      <c r="BK173" s="138">
        <f t="shared" si="29"/>
        <v>7032</v>
      </c>
      <c r="BL173" s="15" t="s">
        <v>206</v>
      </c>
      <c r="BM173" s="137" t="s">
        <v>1365</v>
      </c>
    </row>
    <row r="174" spans="2:65" s="1" customFormat="1" ht="33" customHeight="1">
      <c r="B174" s="126"/>
      <c r="C174" s="127" t="s">
        <v>1364</v>
      </c>
      <c r="D174" s="127" t="s">
        <v>144</v>
      </c>
      <c r="E174" s="128" t="s">
        <v>1363</v>
      </c>
      <c r="F174" s="129" t="s">
        <v>1362</v>
      </c>
      <c r="G174" s="130" t="s">
        <v>147</v>
      </c>
      <c r="H174" s="131">
        <v>7</v>
      </c>
      <c r="I174" s="132">
        <v>698</v>
      </c>
      <c r="J174" s="132">
        <f t="shared" si="20"/>
        <v>4886</v>
      </c>
      <c r="K174" s="129" t="s">
        <v>148</v>
      </c>
      <c r="L174" s="27"/>
      <c r="M174" s="133" t="s">
        <v>1</v>
      </c>
      <c r="N174" s="134" t="s">
        <v>39</v>
      </c>
      <c r="O174" s="135">
        <v>0.13</v>
      </c>
      <c r="P174" s="135">
        <f t="shared" si="21"/>
        <v>0.91</v>
      </c>
      <c r="Q174" s="135">
        <v>3.8999999999999999E-4</v>
      </c>
      <c r="R174" s="135">
        <f t="shared" si="22"/>
        <v>2.7299999999999998E-3</v>
      </c>
      <c r="S174" s="135">
        <v>0</v>
      </c>
      <c r="T174" s="136">
        <f t="shared" si="23"/>
        <v>0</v>
      </c>
      <c r="AR174" s="137" t="s">
        <v>206</v>
      </c>
      <c r="AT174" s="137" t="s">
        <v>144</v>
      </c>
      <c r="AU174" s="137" t="s">
        <v>143</v>
      </c>
      <c r="AY174" s="15" t="s">
        <v>141</v>
      </c>
      <c r="BE174" s="138">
        <f t="shared" si="24"/>
        <v>0</v>
      </c>
      <c r="BF174" s="138">
        <f t="shared" si="25"/>
        <v>4886</v>
      </c>
      <c r="BG174" s="138">
        <f t="shared" si="26"/>
        <v>0</v>
      </c>
      <c r="BH174" s="138">
        <f t="shared" si="27"/>
        <v>0</v>
      </c>
      <c r="BI174" s="138">
        <f t="shared" si="28"/>
        <v>0</v>
      </c>
      <c r="BJ174" s="15" t="s">
        <v>143</v>
      </c>
      <c r="BK174" s="138">
        <f t="shared" si="29"/>
        <v>4886</v>
      </c>
      <c r="BL174" s="15" t="s">
        <v>206</v>
      </c>
      <c r="BM174" s="137" t="s">
        <v>1361</v>
      </c>
    </row>
    <row r="175" spans="2:65" s="1" customFormat="1" ht="24.2" customHeight="1">
      <c r="B175" s="126"/>
      <c r="C175" s="127" t="s">
        <v>1360</v>
      </c>
      <c r="D175" s="127" t="s">
        <v>144</v>
      </c>
      <c r="E175" s="128" t="s">
        <v>1359</v>
      </c>
      <c r="F175" s="129" t="s">
        <v>1358</v>
      </c>
      <c r="G175" s="130" t="s">
        <v>147</v>
      </c>
      <c r="H175" s="131">
        <v>7</v>
      </c>
      <c r="I175" s="132">
        <v>254</v>
      </c>
      <c r="J175" s="132">
        <f t="shared" si="20"/>
        <v>1778</v>
      </c>
      <c r="K175" s="129" t="s">
        <v>148</v>
      </c>
      <c r="L175" s="27"/>
      <c r="M175" s="133" t="s">
        <v>1</v>
      </c>
      <c r="N175" s="134" t="s">
        <v>39</v>
      </c>
      <c r="O175" s="135">
        <v>8.2000000000000003E-2</v>
      </c>
      <c r="P175" s="135">
        <f t="shared" si="21"/>
        <v>0.57400000000000007</v>
      </c>
      <c r="Q175" s="135">
        <v>2.2000000000000001E-4</v>
      </c>
      <c r="R175" s="135">
        <f t="shared" si="22"/>
        <v>1.5400000000000001E-3</v>
      </c>
      <c r="S175" s="135">
        <v>0</v>
      </c>
      <c r="T175" s="136">
        <f t="shared" si="23"/>
        <v>0</v>
      </c>
      <c r="AR175" s="137" t="s">
        <v>206</v>
      </c>
      <c r="AT175" s="137" t="s">
        <v>144</v>
      </c>
      <c r="AU175" s="137" t="s">
        <v>143</v>
      </c>
      <c r="AY175" s="15" t="s">
        <v>141</v>
      </c>
      <c r="BE175" s="138">
        <f t="shared" si="24"/>
        <v>0</v>
      </c>
      <c r="BF175" s="138">
        <f t="shared" si="25"/>
        <v>1778</v>
      </c>
      <c r="BG175" s="138">
        <f t="shared" si="26"/>
        <v>0</v>
      </c>
      <c r="BH175" s="138">
        <f t="shared" si="27"/>
        <v>0</v>
      </c>
      <c r="BI175" s="138">
        <f t="shared" si="28"/>
        <v>0</v>
      </c>
      <c r="BJ175" s="15" t="s">
        <v>143</v>
      </c>
      <c r="BK175" s="138">
        <f t="shared" si="29"/>
        <v>1778</v>
      </c>
      <c r="BL175" s="15" t="s">
        <v>206</v>
      </c>
      <c r="BM175" s="137" t="s">
        <v>1357</v>
      </c>
    </row>
    <row r="176" spans="2:65" s="1" customFormat="1" ht="24.2" customHeight="1">
      <c r="B176" s="126"/>
      <c r="C176" s="127" t="s">
        <v>1356</v>
      </c>
      <c r="D176" s="127" t="s">
        <v>144</v>
      </c>
      <c r="E176" s="128" t="s">
        <v>1355</v>
      </c>
      <c r="F176" s="129" t="s">
        <v>1354</v>
      </c>
      <c r="G176" s="130" t="s">
        <v>147</v>
      </c>
      <c r="H176" s="131">
        <v>2</v>
      </c>
      <c r="I176" s="132">
        <v>1490</v>
      </c>
      <c r="J176" s="132">
        <f t="shared" si="20"/>
        <v>2980</v>
      </c>
      <c r="K176" s="129" t="s">
        <v>148</v>
      </c>
      <c r="L176" s="27"/>
      <c r="M176" s="133" t="s">
        <v>1</v>
      </c>
      <c r="N176" s="134" t="s">
        <v>39</v>
      </c>
      <c r="O176" s="135">
        <v>0.42199999999999999</v>
      </c>
      <c r="P176" s="135">
        <f t="shared" si="21"/>
        <v>0.84399999999999997</v>
      </c>
      <c r="Q176" s="135">
        <v>1.73E-3</v>
      </c>
      <c r="R176" s="135">
        <f t="shared" si="22"/>
        <v>3.46E-3</v>
      </c>
      <c r="S176" s="135">
        <v>0</v>
      </c>
      <c r="T176" s="136">
        <f t="shared" si="23"/>
        <v>0</v>
      </c>
      <c r="AR176" s="137" t="s">
        <v>206</v>
      </c>
      <c r="AT176" s="137" t="s">
        <v>144</v>
      </c>
      <c r="AU176" s="137" t="s">
        <v>143</v>
      </c>
      <c r="AY176" s="15" t="s">
        <v>141</v>
      </c>
      <c r="BE176" s="138">
        <f t="shared" si="24"/>
        <v>0</v>
      </c>
      <c r="BF176" s="138">
        <f t="shared" si="25"/>
        <v>2980</v>
      </c>
      <c r="BG176" s="138">
        <f t="shared" si="26"/>
        <v>0</v>
      </c>
      <c r="BH176" s="138">
        <f t="shared" si="27"/>
        <v>0</v>
      </c>
      <c r="BI176" s="138">
        <f t="shared" si="28"/>
        <v>0</v>
      </c>
      <c r="BJ176" s="15" t="s">
        <v>143</v>
      </c>
      <c r="BK176" s="138">
        <f t="shared" si="29"/>
        <v>2980</v>
      </c>
      <c r="BL176" s="15" t="s">
        <v>206</v>
      </c>
      <c r="BM176" s="137" t="s">
        <v>1353</v>
      </c>
    </row>
    <row r="177" spans="2:65" s="1" customFormat="1" ht="24.2" customHeight="1">
      <c r="B177" s="126"/>
      <c r="C177" s="127" t="s">
        <v>331</v>
      </c>
      <c r="D177" s="127" t="s">
        <v>144</v>
      </c>
      <c r="E177" s="128" t="s">
        <v>1352</v>
      </c>
      <c r="F177" s="129" t="s">
        <v>1351</v>
      </c>
      <c r="G177" s="130" t="s">
        <v>147</v>
      </c>
      <c r="H177" s="131">
        <v>2</v>
      </c>
      <c r="I177" s="132">
        <v>735</v>
      </c>
      <c r="J177" s="132">
        <f t="shared" si="20"/>
        <v>1470</v>
      </c>
      <c r="K177" s="129" t="s">
        <v>148</v>
      </c>
      <c r="L177" s="27"/>
      <c r="M177" s="133" t="s">
        <v>1</v>
      </c>
      <c r="N177" s="134" t="s">
        <v>39</v>
      </c>
      <c r="O177" s="135">
        <v>0.26800000000000002</v>
      </c>
      <c r="P177" s="135">
        <f t="shared" si="21"/>
        <v>0.53600000000000003</v>
      </c>
      <c r="Q177" s="135">
        <v>1.24E-3</v>
      </c>
      <c r="R177" s="135">
        <f t="shared" si="22"/>
        <v>2.48E-3</v>
      </c>
      <c r="S177" s="135">
        <v>0</v>
      </c>
      <c r="T177" s="136">
        <f t="shared" si="23"/>
        <v>0</v>
      </c>
      <c r="AR177" s="137" t="s">
        <v>206</v>
      </c>
      <c r="AT177" s="137" t="s">
        <v>144</v>
      </c>
      <c r="AU177" s="137" t="s">
        <v>143</v>
      </c>
      <c r="AY177" s="15" t="s">
        <v>141</v>
      </c>
      <c r="BE177" s="138">
        <f t="shared" si="24"/>
        <v>0</v>
      </c>
      <c r="BF177" s="138">
        <f t="shared" si="25"/>
        <v>1470</v>
      </c>
      <c r="BG177" s="138">
        <f t="shared" si="26"/>
        <v>0</v>
      </c>
      <c r="BH177" s="138">
        <f t="shared" si="27"/>
        <v>0</v>
      </c>
      <c r="BI177" s="138">
        <f t="shared" si="28"/>
        <v>0</v>
      </c>
      <c r="BJ177" s="15" t="s">
        <v>143</v>
      </c>
      <c r="BK177" s="138">
        <f t="shared" si="29"/>
        <v>1470</v>
      </c>
      <c r="BL177" s="15" t="s">
        <v>206</v>
      </c>
      <c r="BM177" s="137" t="s">
        <v>1350</v>
      </c>
    </row>
    <row r="178" spans="2:65" s="1" customFormat="1" ht="24.2" customHeight="1">
      <c r="B178" s="126"/>
      <c r="C178" s="127" t="s">
        <v>335</v>
      </c>
      <c r="D178" s="127" t="s">
        <v>144</v>
      </c>
      <c r="E178" s="128" t="s">
        <v>1349</v>
      </c>
      <c r="F178" s="129" t="s">
        <v>1348</v>
      </c>
      <c r="G178" s="130" t="s">
        <v>147</v>
      </c>
      <c r="H178" s="131">
        <v>1</v>
      </c>
      <c r="I178" s="132">
        <v>293</v>
      </c>
      <c r="J178" s="132">
        <f t="shared" si="20"/>
        <v>293</v>
      </c>
      <c r="K178" s="129" t="s">
        <v>148</v>
      </c>
      <c r="L178" s="27"/>
      <c r="M178" s="133" t="s">
        <v>1</v>
      </c>
      <c r="N178" s="134" t="s">
        <v>39</v>
      </c>
      <c r="O178" s="135">
        <v>0.16</v>
      </c>
      <c r="P178" s="135">
        <f t="shared" si="21"/>
        <v>0.16</v>
      </c>
      <c r="Q178" s="135">
        <v>2.3000000000000001E-4</v>
      </c>
      <c r="R178" s="135">
        <f t="shared" si="22"/>
        <v>2.3000000000000001E-4</v>
      </c>
      <c r="S178" s="135">
        <v>0</v>
      </c>
      <c r="T178" s="136">
        <f t="shared" si="23"/>
        <v>0</v>
      </c>
      <c r="AR178" s="137" t="s">
        <v>206</v>
      </c>
      <c r="AT178" s="137" t="s">
        <v>144</v>
      </c>
      <c r="AU178" s="137" t="s">
        <v>143</v>
      </c>
      <c r="AY178" s="15" t="s">
        <v>141</v>
      </c>
      <c r="BE178" s="138">
        <f t="shared" si="24"/>
        <v>0</v>
      </c>
      <c r="BF178" s="138">
        <f t="shared" si="25"/>
        <v>293</v>
      </c>
      <c r="BG178" s="138">
        <f t="shared" si="26"/>
        <v>0</v>
      </c>
      <c r="BH178" s="138">
        <f t="shared" si="27"/>
        <v>0</v>
      </c>
      <c r="BI178" s="138">
        <f t="shared" si="28"/>
        <v>0</v>
      </c>
      <c r="BJ178" s="15" t="s">
        <v>143</v>
      </c>
      <c r="BK178" s="138">
        <f t="shared" si="29"/>
        <v>293</v>
      </c>
      <c r="BL178" s="15" t="s">
        <v>206</v>
      </c>
      <c r="BM178" s="137" t="s">
        <v>1347</v>
      </c>
    </row>
    <row r="179" spans="2:65" s="1" customFormat="1" ht="24.2" customHeight="1">
      <c r="B179" s="126"/>
      <c r="C179" s="127" t="s">
        <v>339</v>
      </c>
      <c r="D179" s="127" t="s">
        <v>144</v>
      </c>
      <c r="E179" s="128" t="s">
        <v>1346</v>
      </c>
      <c r="F179" s="129" t="s">
        <v>1345</v>
      </c>
      <c r="G179" s="130" t="s">
        <v>147</v>
      </c>
      <c r="H179" s="131">
        <v>2</v>
      </c>
      <c r="I179" s="132">
        <v>592</v>
      </c>
      <c r="J179" s="132">
        <f t="shared" si="20"/>
        <v>1184</v>
      </c>
      <c r="K179" s="129" t="s">
        <v>148</v>
      </c>
      <c r="L179" s="27"/>
      <c r="M179" s="133" t="s">
        <v>1</v>
      </c>
      <c r="N179" s="134" t="s">
        <v>39</v>
      </c>
      <c r="O179" s="135">
        <v>0.22</v>
      </c>
      <c r="P179" s="135">
        <f t="shared" si="21"/>
        <v>0.44</v>
      </c>
      <c r="Q179" s="135">
        <v>5.5000000000000003E-4</v>
      </c>
      <c r="R179" s="135">
        <f t="shared" si="22"/>
        <v>1.1000000000000001E-3</v>
      </c>
      <c r="S179" s="135">
        <v>0</v>
      </c>
      <c r="T179" s="136">
        <f t="shared" si="23"/>
        <v>0</v>
      </c>
      <c r="AR179" s="137" t="s">
        <v>206</v>
      </c>
      <c r="AT179" s="137" t="s">
        <v>144</v>
      </c>
      <c r="AU179" s="137" t="s">
        <v>143</v>
      </c>
      <c r="AY179" s="15" t="s">
        <v>141</v>
      </c>
      <c r="BE179" s="138">
        <f t="shared" si="24"/>
        <v>0</v>
      </c>
      <c r="BF179" s="138">
        <f t="shared" si="25"/>
        <v>1184</v>
      </c>
      <c r="BG179" s="138">
        <f t="shared" si="26"/>
        <v>0</v>
      </c>
      <c r="BH179" s="138">
        <f t="shared" si="27"/>
        <v>0</v>
      </c>
      <c r="BI179" s="138">
        <f t="shared" si="28"/>
        <v>0</v>
      </c>
      <c r="BJ179" s="15" t="s">
        <v>143</v>
      </c>
      <c r="BK179" s="138">
        <f t="shared" si="29"/>
        <v>1184</v>
      </c>
      <c r="BL179" s="15" t="s">
        <v>206</v>
      </c>
      <c r="BM179" s="137" t="s">
        <v>1344</v>
      </c>
    </row>
    <row r="180" spans="2:65" s="1" customFormat="1" ht="24.2" customHeight="1">
      <c r="B180" s="126"/>
      <c r="C180" s="127" t="s">
        <v>347</v>
      </c>
      <c r="D180" s="127" t="s">
        <v>144</v>
      </c>
      <c r="E180" s="128" t="s">
        <v>1343</v>
      </c>
      <c r="F180" s="129" t="s">
        <v>1342</v>
      </c>
      <c r="G180" s="130" t="s">
        <v>147</v>
      </c>
      <c r="H180" s="131">
        <v>10</v>
      </c>
      <c r="I180" s="132">
        <v>819</v>
      </c>
      <c r="J180" s="132">
        <f t="shared" si="20"/>
        <v>8190</v>
      </c>
      <c r="K180" s="129" t="s">
        <v>148</v>
      </c>
      <c r="L180" s="27"/>
      <c r="M180" s="133" t="s">
        <v>1</v>
      </c>
      <c r="N180" s="134" t="s">
        <v>39</v>
      </c>
      <c r="O180" s="135">
        <v>0.26</v>
      </c>
      <c r="P180" s="135">
        <f t="shared" si="21"/>
        <v>2.6</v>
      </c>
      <c r="Q180" s="135">
        <v>7.6000000000000004E-4</v>
      </c>
      <c r="R180" s="135">
        <f t="shared" si="22"/>
        <v>7.6000000000000009E-3</v>
      </c>
      <c r="S180" s="135">
        <v>0</v>
      </c>
      <c r="T180" s="136">
        <f t="shared" si="23"/>
        <v>0</v>
      </c>
      <c r="AR180" s="137" t="s">
        <v>206</v>
      </c>
      <c r="AT180" s="137" t="s">
        <v>144</v>
      </c>
      <c r="AU180" s="137" t="s">
        <v>143</v>
      </c>
      <c r="AY180" s="15" t="s">
        <v>141</v>
      </c>
      <c r="BE180" s="138">
        <f t="shared" si="24"/>
        <v>0</v>
      </c>
      <c r="BF180" s="138">
        <f t="shared" si="25"/>
        <v>8190</v>
      </c>
      <c r="BG180" s="138">
        <f t="shared" si="26"/>
        <v>0</v>
      </c>
      <c r="BH180" s="138">
        <f t="shared" si="27"/>
        <v>0</v>
      </c>
      <c r="BI180" s="138">
        <f t="shared" si="28"/>
        <v>0</v>
      </c>
      <c r="BJ180" s="15" t="s">
        <v>143</v>
      </c>
      <c r="BK180" s="138">
        <f t="shared" si="29"/>
        <v>8190</v>
      </c>
      <c r="BL180" s="15" t="s">
        <v>206</v>
      </c>
      <c r="BM180" s="137" t="s">
        <v>1341</v>
      </c>
    </row>
    <row r="181" spans="2:65" s="1" customFormat="1" ht="24.2" customHeight="1">
      <c r="B181" s="126"/>
      <c r="C181" s="127" t="s">
        <v>343</v>
      </c>
      <c r="D181" s="127" t="s">
        <v>144</v>
      </c>
      <c r="E181" s="128" t="s">
        <v>1340</v>
      </c>
      <c r="F181" s="129" t="s">
        <v>1339</v>
      </c>
      <c r="G181" s="130" t="s">
        <v>147</v>
      </c>
      <c r="H181" s="131">
        <v>8</v>
      </c>
      <c r="I181" s="132">
        <v>1770</v>
      </c>
      <c r="J181" s="132">
        <f t="shared" si="20"/>
        <v>14160</v>
      </c>
      <c r="K181" s="129" t="s">
        <v>148</v>
      </c>
      <c r="L181" s="27"/>
      <c r="M181" s="133" t="s">
        <v>1</v>
      </c>
      <c r="N181" s="134" t="s">
        <v>39</v>
      </c>
      <c r="O181" s="135">
        <v>0.41</v>
      </c>
      <c r="P181" s="135">
        <f t="shared" si="21"/>
        <v>3.28</v>
      </c>
      <c r="Q181" s="135">
        <v>1.8600000000000001E-3</v>
      </c>
      <c r="R181" s="135">
        <f t="shared" si="22"/>
        <v>1.4880000000000001E-2</v>
      </c>
      <c r="S181" s="135">
        <v>0</v>
      </c>
      <c r="T181" s="136">
        <f t="shared" si="23"/>
        <v>0</v>
      </c>
      <c r="AR181" s="137" t="s">
        <v>206</v>
      </c>
      <c r="AT181" s="137" t="s">
        <v>144</v>
      </c>
      <c r="AU181" s="137" t="s">
        <v>143</v>
      </c>
      <c r="AY181" s="15" t="s">
        <v>141</v>
      </c>
      <c r="BE181" s="138">
        <f t="shared" si="24"/>
        <v>0</v>
      </c>
      <c r="BF181" s="138">
        <f t="shared" si="25"/>
        <v>14160</v>
      </c>
      <c r="BG181" s="138">
        <f t="shared" si="26"/>
        <v>0</v>
      </c>
      <c r="BH181" s="138">
        <f t="shared" si="27"/>
        <v>0</v>
      </c>
      <c r="BI181" s="138">
        <f t="shared" si="28"/>
        <v>0</v>
      </c>
      <c r="BJ181" s="15" t="s">
        <v>143</v>
      </c>
      <c r="BK181" s="138">
        <f t="shared" si="29"/>
        <v>14160</v>
      </c>
      <c r="BL181" s="15" t="s">
        <v>206</v>
      </c>
      <c r="BM181" s="137" t="s">
        <v>1338</v>
      </c>
    </row>
    <row r="182" spans="2:65" s="1" customFormat="1" ht="37.9" customHeight="1">
      <c r="B182" s="126"/>
      <c r="C182" s="127" t="s">
        <v>351</v>
      </c>
      <c r="D182" s="127" t="s">
        <v>144</v>
      </c>
      <c r="E182" s="128" t="s">
        <v>1337</v>
      </c>
      <c r="F182" s="129" t="s">
        <v>1336</v>
      </c>
      <c r="G182" s="130" t="s">
        <v>147</v>
      </c>
      <c r="H182" s="131">
        <v>1</v>
      </c>
      <c r="I182" s="132">
        <v>5610</v>
      </c>
      <c r="J182" s="132">
        <f t="shared" si="20"/>
        <v>5610</v>
      </c>
      <c r="K182" s="129" t="s">
        <v>148</v>
      </c>
      <c r="L182" s="27"/>
      <c r="M182" s="133" t="s">
        <v>1</v>
      </c>
      <c r="N182" s="134" t="s">
        <v>39</v>
      </c>
      <c r="O182" s="135">
        <v>0.34</v>
      </c>
      <c r="P182" s="135">
        <f t="shared" si="21"/>
        <v>0.34</v>
      </c>
      <c r="Q182" s="135">
        <v>1.72E-3</v>
      </c>
      <c r="R182" s="135">
        <f t="shared" si="22"/>
        <v>1.72E-3</v>
      </c>
      <c r="S182" s="135">
        <v>0</v>
      </c>
      <c r="T182" s="136">
        <f t="shared" si="23"/>
        <v>0</v>
      </c>
      <c r="AR182" s="137" t="s">
        <v>206</v>
      </c>
      <c r="AT182" s="137" t="s">
        <v>144</v>
      </c>
      <c r="AU182" s="137" t="s">
        <v>143</v>
      </c>
      <c r="AY182" s="15" t="s">
        <v>141</v>
      </c>
      <c r="BE182" s="138">
        <f t="shared" si="24"/>
        <v>0</v>
      </c>
      <c r="BF182" s="138">
        <f t="shared" si="25"/>
        <v>5610</v>
      </c>
      <c r="BG182" s="138">
        <f t="shared" si="26"/>
        <v>0</v>
      </c>
      <c r="BH182" s="138">
        <f t="shared" si="27"/>
        <v>0</v>
      </c>
      <c r="BI182" s="138">
        <f t="shared" si="28"/>
        <v>0</v>
      </c>
      <c r="BJ182" s="15" t="s">
        <v>143</v>
      </c>
      <c r="BK182" s="138">
        <f t="shared" si="29"/>
        <v>5610</v>
      </c>
      <c r="BL182" s="15" t="s">
        <v>206</v>
      </c>
      <c r="BM182" s="137" t="s">
        <v>1335</v>
      </c>
    </row>
    <row r="183" spans="2:65" s="1" customFormat="1" ht="37.9" customHeight="1">
      <c r="B183" s="126"/>
      <c r="C183" s="127" t="s">
        <v>355</v>
      </c>
      <c r="D183" s="127" t="s">
        <v>144</v>
      </c>
      <c r="E183" s="128" t="s">
        <v>1334</v>
      </c>
      <c r="F183" s="129" t="s">
        <v>1333</v>
      </c>
      <c r="G183" s="130" t="s">
        <v>147</v>
      </c>
      <c r="H183" s="131">
        <v>2</v>
      </c>
      <c r="I183" s="132">
        <v>608</v>
      </c>
      <c r="J183" s="132">
        <f t="shared" si="20"/>
        <v>1216</v>
      </c>
      <c r="K183" s="129" t="s">
        <v>148</v>
      </c>
      <c r="L183" s="27"/>
      <c r="M183" s="133" t="s">
        <v>1</v>
      </c>
      <c r="N183" s="134" t="s">
        <v>39</v>
      </c>
      <c r="O183" s="135">
        <v>0.38100000000000001</v>
      </c>
      <c r="P183" s="135">
        <f t="shared" si="21"/>
        <v>0.76200000000000001</v>
      </c>
      <c r="Q183" s="135">
        <v>5.2999999999999998E-4</v>
      </c>
      <c r="R183" s="135">
        <f t="shared" si="22"/>
        <v>1.06E-3</v>
      </c>
      <c r="S183" s="135">
        <v>0</v>
      </c>
      <c r="T183" s="136">
        <f t="shared" si="23"/>
        <v>0</v>
      </c>
      <c r="AR183" s="137" t="s">
        <v>206</v>
      </c>
      <c r="AT183" s="137" t="s">
        <v>144</v>
      </c>
      <c r="AU183" s="137" t="s">
        <v>143</v>
      </c>
      <c r="AY183" s="15" t="s">
        <v>141</v>
      </c>
      <c r="BE183" s="138">
        <f t="shared" si="24"/>
        <v>0</v>
      </c>
      <c r="BF183" s="138">
        <f t="shared" si="25"/>
        <v>1216</v>
      </c>
      <c r="BG183" s="138">
        <f t="shared" si="26"/>
        <v>0</v>
      </c>
      <c r="BH183" s="138">
        <f t="shared" si="27"/>
        <v>0</v>
      </c>
      <c r="BI183" s="138">
        <f t="shared" si="28"/>
        <v>0</v>
      </c>
      <c r="BJ183" s="15" t="s">
        <v>143</v>
      </c>
      <c r="BK183" s="138">
        <f t="shared" si="29"/>
        <v>1216</v>
      </c>
      <c r="BL183" s="15" t="s">
        <v>206</v>
      </c>
      <c r="BM183" s="137" t="s">
        <v>1332</v>
      </c>
    </row>
    <row r="184" spans="2:65" s="1" customFormat="1" ht="37.9" customHeight="1">
      <c r="B184" s="126"/>
      <c r="C184" s="127" t="s">
        <v>359</v>
      </c>
      <c r="D184" s="127" t="s">
        <v>144</v>
      </c>
      <c r="E184" s="128" t="s">
        <v>1331</v>
      </c>
      <c r="F184" s="129" t="s">
        <v>1330</v>
      </c>
      <c r="G184" s="130" t="s">
        <v>147</v>
      </c>
      <c r="H184" s="131">
        <v>1</v>
      </c>
      <c r="I184" s="132">
        <v>1150</v>
      </c>
      <c r="J184" s="132">
        <f t="shared" si="20"/>
        <v>1150</v>
      </c>
      <c r="K184" s="129" t="s">
        <v>148</v>
      </c>
      <c r="L184" s="27"/>
      <c r="M184" s="133" t="s">
        <v>1</v>
      </c>
      <c r="N184" s="134" t="s">
        <v>39</v>
      </c>
      <c r="O184" s="135">
        <v>0.433</v>
      </c>
      <c r="P184" s="135">
        <f t="shared" si="21"/>
        <v>0.433</v>
      </c>
      <c r="Q184" s="135">
        <v>1.47E-3</v>
      </c>
      <c r="R184" s="135">
        <f t="shared" si="22"/>
        <v>1.47E-3</v>
      </c>
      <c r="S184" s="135">
        <v>0</v>
      </c>
      <c r="T184" s="136">
        <f t="shared" si="23"/>
        <v>0</v>
      </c>
      <c r="AR184" s="137" t="s">
        <v>206</v>
      </c>
      <c r="AT184" s="137" t="s">
        <v>144</v>
      </c>
      <c r="AU184" s="137" t="s">
        <v>143</v>
      </c>
      <c r="AY184" s="15" t="s">
        <v>141</v>
      </c>
      <c r="BE184" s="138">
        <f t="shared" si="24"/>
        <v>0</v>
      </c>
      <c r="BF184" s="138">
        <f t="shared" si="25"/>
        <v>1150</v>
      </c>
      <c r="BG184" s="138">
        <f t="shared" si="26"/>
        <v>0</v>
      </c>
      <c r="BH184" s="138">
        <f t="shared" si="27"/>
        <v>0</v>
      </c>
      <c r="BI184" s="138">
        <f t="shared" si="28"/>
        <v>0</v>
      </c>
      <c r="BJ184" s="15" t="s">
        <v>143</v>
      </c>
      <c r="BK184" s="138">
        <f t="shared" si="29"/>
        <v>1150</v>
      </c>
      <c r="BL184" s="15" t="s">
        <v>206</v>
      </c>
      <c r="BM184" s="137" t="s">
        <v>1329</v>
      </c>
    </row>
    <row r="185" spans="2:65" s="1" customFormat="1" ht="24.2" customHeight="1">
      <c r="B185" s="126"/>
      <c r="C185" s="127" t="s">
        <v>365</v>
      </c>
      <c r="D185" s="127" t="s">
        <v>144</v>
      </c>
      <c r="E185" s="128" t="s">
        <v>1328</v>
      </c>
      <c r="F185" s="129" t="s">
        <v>1327</v>
      </c>
      <c r="G185" s="130" t="s">
        <v>147</v>
      </c>
      <c r="H185" s="131">
        <v>1</v>
      </c>
      <c r="I185" s="132">
        <v>374</v>
      </c>
      <c r="J185" s="132">
        <f t="shared" si="20"/>
        <v>374</v>
      </c>
      <c r="K185" s="129" t="s">
        <v>148</v>
      </c>
      <c r="L185" s="27"/>
      <c r="M185" s="133" t="s">
        <v>1</v>
      </c>
      <c r="N185" s="134" t="s">
        <v>39</v>
      </c>
      <c r="O185" s="135">
        <v>0.20599999999999999</v>
      </c>
      <c r="P185" s="135">
        <f t="shared" si="21"/>
        <v>0.20599999999999999</v>
      </c>
      <c r="Q185" s="135">
        <v>7.5000000000000002E-4</v>
      </c>
      <c r="R185" s="135">
        <f t="shared" si="22"/>
        <v>7.5000000000000002E-4</v>
      </c>
      <c r="S185" s="135">
        <v>0</v>
      </c>
      <c r="T185" s="136">
        <f t="shared" si="23"/>
        <v>0</v>
      </c>
      <c r="AR185" s="137" t="s">
        <v>206</v>
      </c>
      <c r="AT185" s="137" t="s">
        <v>144</v>
      </c>
      <c r="AU185" s="137" t="s">
        <v>143</v>
      </c>
      <c r="AY185" s="15" t="s">
        <v>141</v>
      </c>
      <c r="BE185" s="138">
        <f t="shared" si="24"/>
        <v>0</v>
      </c>
      <c r="BF185" s="138">
        <f t="shared" si="25"/>
        <v>374</v>
      </c>
      <c r="BG185" s="138">
        <f t="shared" si="26"/>
        <v>0</v>
      </c>
      <c r="BH185" s="138">
        <f t="shared" si="27"/>
        <v>0</v>
      </c>
      <c r="BI185" s="138">
        <f t="shared" si="28"/>
        <v>0</v>
      </c>
      <c r="BJ185" s="15" t="s">
        <v>143</v>
      </c>
      <c r="BK185" s="138">
        <f t="shared" si="29"/>
        <v>374</v>
      </c>
      <c r="BL185" s="15" t="s">
        <v>206</v>
      </c>
      <c r="BM185" s="137" t="s">
        <v>1326</v>
      </c>
    </row>
    <row r="186" spans="2:65" s="1" customFormat="1" ht="44.25" customHeight="1">
      <c r="B186" s="126"/>
      <c r="C186" s="127" t="s">
        <v>370</v>
      </c>
      <c r="D186" s="127" t="s">
        <v>144</v>
      </c>
      <c r="E186" s="128" t="s">
        <v>1325</v>
      </c>
      <c r="F186" s="129" t="s">
        <v>1324</v>
      </c>
      <c r="G186" s="130" t="s">
        <v>179</v>
      </c>
      <c r="H186" s="131">
        <v>5.5E-2</v>
      </c>
      <c r="I186" s="132">
        <v>1050</v>
      </c>
      <c r="J186" s="132">
        <f t="shared" si="20"/>
        <v>57.75</v>
      </c>
      <c r="K186" s="129" t="s">
        <v>148</v>
      </c>
      <c r="L186" s="27"/>
      <c r="M186" s="133" t="s">
        <v>1</v>
      </c>
      <c r="N186" s="134" t="s">
        <v>39</v>
      </c>
      <c r="O186" s="135">
        <v>2.5</v>
      </c>
      <c r="P186" s="135">
        <f t="shared" si="21"/>
        <v>0.13750000000000001</v>
      </c>
      <c r="Q186" s="135">
        <v>0</v>
      </c>
      <c r="R186" s="135">
        <f t="shared" si="22"/>
        <v>0</v>
      </c>
      <c r="S186" s="135">
        <v>0</v>
      </c>
      <c r="T186" s="136">
        <f t="shared" si="23"/>
        <v>0</v>
      </c>
      <c r="AR186" s="137" t="s">
        <v>206</v>
      </c>
      <c r="AT186" s="137" t="s">
        <v>144</v>
      </c>
      <c r="AU186" s="137" t="s">
        <v>143</v>
      </c>
      <c r="AY186" s="15" t="s">
        <v>141</v>
      </c>
      <c r="BE186" s="138">
        <f t="shared" si="24"/>
        <v>0</v>
      </c>
      <c r="BF186" s="138">
        <f t="shared" si="25"/>
        <v>57.75</v>
      </c>
      <c r="BG186" s="138">
        <f t="shared" si="26"/>
        <v>0</v>
      </c>
      <c r="BH186" s="138">
        <f t="shared" si="27"/>
        <v>0</v>
      </c>
      <c r="BI186" s="138">
        <f t="shared" si="28"/>
        <v>0</v>
      </c>
      <c r="BJ186" s="15" t="s">
        <v>143</v>
      </c>
      <c r="BK186" s="138">
        <f t="shared" si="29"/>
        <v>57.75</v>
      </c>
      <c r="BL186" s="15" t="s">
        <v>206</v>
      </c>
      <c r="BM186" s="137" t="s">
        <v>1323</v>
      </c>
    </row>
    <row r="187" spans="2:65" s="11" customFormat="1" ht="22.9" customHeight="1">
      <c r="B187" s="115"/>
      <c r="D187" s="116" t="s">
        <v>72</v>
      </c>
      <c r="E187" s="124" t="s">
        <v>1322</v>
      </c>
      <c r="F187" s="124" t="s">
        <v>1321</v>
      </c>
      <c r="J187" s="125">
        <f>BK187</f>
        <v>1410133.08</v>
      </c>
      <c r="L187" s="115"/>
      <c r="M187" s="119"/>
      <c r="P187" s="120">
        <f>SUM(P188:P216)</f>
        <v>520.32312000000002</v>
      </c>
      <c r="R187" s="120">
        <f>SUM(R188:R216)</f>
        <v>3.2971399999999993</v>
      </c>
      <c r="T187" s="121">
        <f>SUM(T188:T216)</f>
        <v>0</v>
      </c>
      <c r="AR187" s="116" t="s">
        <v>143</v>
      </c>
      <c r="AT187" s="122" t="s">
        <v>72</v>
      </c>
      <c r="AU187" s="122" t="s">
        <v>81</v>
      </c>
      <c r="AY187" s="116" t="s">
        <v>141</v>
      </c>
      <c r="BK187" s="123">
        <f>SUM(BK188:BK216)</f>
        <v>1410133.08</v>
      </c>
    </row>
    <row r="188" spans="2:65" s="1" customFormat="1" ht="37.9" customHeight="1">
      <c r="B188" s="126"/>
      <c r="C188" s="127" t="s">
        <v>374</v>
      </c>
      <c r="D188" s="127" t="s">
        <v>144</v>
      </c>
      <c r="E188" s="128" t="s">
        <v>1320</v>
      </c>
      <c r="F188" s="129" t="s">
        <v>1319</v>
      </c>
      <c r="G188" s="130" t="s">
        <v>147</v>
      </c>
      <c r="H188" s="131">
        <v>144</v>
      </c>
      <c r="I188" s="132">
        <v>71.599999999999994</v>
      </c>
      <c r="J188" s="132">
        <f t="shared" ref="J188:J193" si="30">ROUND(I188*H188,2)</f>
        <v>10310.4</v>
      </c>
      <c r="K188" s="129" t="s">
        <v>148</v>
      </c>
      <c r="L188" s="27"/>
      <c r="M188" s="133" t="s">
        <v>1</v>
      </c>
      <c r="N188" s="134" t="s">
        <v>39</v>
      </c>
      <c r="O188" s="135">
        <v>0.13400000000000001</v>
      </c>
      <c r="P188" s="135">
        <f t="shared" ref="P188:P193" si="31">O188*H188</f>
        <v>19.295999999999999</v>
      </c>
      <c r="Q188" s="135">
        <v>0</v>
      </c>
      <c r="R188" s="135">
        <f t="shared" ref="R188:R193" si="32">Q188*H188</f>
        <v>0</v>
      </c>
      <c r="S188" s="135">
        <v>0</v>
      </c>
      <c r="T188" s="136">
        <f t="shared" ref="T188:T193" si="33">S188*H188</f>
        <v>0</v>
      </c>
      <c r="AR188" s="137" t="s">
        <v>206</v>
      </c>
      <c r="AT188" s="137" t="s">
        <v>144</v>
      </c>
      <c r="AU188" s="137" t="s">
        <v>143</v>
      </c>
      <c r="AY188" s="15" t="s">
        <v>141</v>
      </c>
      <c r="BE188" s="138">
        <f t="shared" ref="BE188:BE193" si="34">IF(N188="základní",J188,0)</f>
        <v>0</v>
      </c>
      <c r="BF188" s="138">
        <f t="shared" ref="BF188:BF193" si="35">IF(N188="snížená",J188,0)</f>
        <v>10310.4</v>
      </c>
      <c r="BG188" s="138">
        <f t="shared" ref="BG188:BG193" si="36">IF(N188="zákl. přenesená",J188,0)</f>
        <v>0</v>
      </c>
      <c r="BH188" s="138">
        <f t="shared" ref="BH188:BH193" si="37">IF(N188="sníž. přenesená",J188,0)</f>
        <v>0</v>
      </c>
      <c r="BI188" s="138">
        <f t="shared" ref="BI188:BI193" si="38">IF(N188="nulová",J188,0)</f>
        <v>0</v>
      </c>
      <c r="BJ188" s="15" t="s">
        <v>143</v>
      </c>
      <c r="BK188" s="138">
        <f t="shared" ref="BK188:BK193" si="39">ROUND(I188*H188,2)</f>
        <v>10310.4</v>
      </c>
      <c r="BL188" s="15" t="s">
        <v>206</v>
      </c>
      <c r="BM188" s="137" t="s">
        <v>1318</v>
      </c>
    </row>
    <row r="189" spans="2:65" s="1" customFormat="1" ht="37.9" customHeight="1">
      <c r="B189" s="126"/>
      <c r="C189" s="127" t="s">
        <v>379</v>
      </c>
      <c r="D189" s="127" t="s">
        <v>144</v>
      </c>
      <c r="E189" s="128" t="s">
        <v>1317</v>
      </c>
      <c r="F189" s="129" t="s">
        <v>1316</v>
      </c>
      <c r="G189" s="130" t="s">
        <v>147</v>
      </c>
      <c r="H189" s="131">
        <v>14</v>
      </c>
      <c r="I189" s="132">
        <v>143</v>
      </c>
      <c r="J189" s="132">
        <f t="shared" si="30"/>
        <v>2002</v>
      </c>
      <c r="K189" s="129" t="s">
        <v>148</v>
      </c>
      <c r="L189" s="27"/>
      <c r="M189" s="133" t="s">
        <v>1</v>
      </c>
      <c r="N189" s="134" t="s">
        <v>39</v>
      </c>
      <c r="O189" s="135">
        <v>0.26800000000000002</v>
      </c>
      <c r="P189" s="135">
        <f t="shared" si="31"/>
        <v>3.7520000000000002</v>
      </c>
      <c r="Q189" s="135">
        <v>0</v>
      </c>
      <c r="R189" s="135">
        <f t="shared" si="32"/>
        <v>0</v>
      </c>
      <c r="S189" s="135">
        <v>0</v>
      </c>
      <c r="T189" s="136">
        <f t="shared" si="33"/>
        <v>0</v>
      </c>
      <c r="AR189" s="137" t="s">
        <v>206</v>
      </c>
      <c r="AT189" s="137" t="s">
        <v>144</v>
      </c>
      <c r="AU189" s="137" t="s">
        <v>143</v>
      </c>
      <c r="AY189" s="15" t="s">
        <v>141</v>
      </c>
      <c r="BE189" s="138">
        <f t="shared" si="34"/>
        <v>0</v>
      </c>
      <c r="BF189" s="138">
        <f t="shared" si="35"/>
        <v>2002</v>
      </c>
      <c r="BG189" s="138">
        <f t="shared" si="36"/>
        <v>0</v>
      </c>
      <c r="BH189" s="138">
        <f t="shared" si="37"/>
        <v>0</v>
      </c>
      <c r="BI189" s="138">
        <f t="shared" si="38"/>
        <v>0</v>
      </c>
      <c r="BJ189" s="15" t="s">
        <v>143</v>
      </c>
      <c r="BK189" s="138">
        <f t="shared" si="39"/>
        <v>2002</v>
      </c>
      <c r="BL189" s="15" t="s">
        <v>206</v>
      </c>
      <c r="BM189" s="137" t="s">
        <v>1315</v>
      </c>
    </row>
    <row r="190" spans="2:65" s="1" customFormat="1" ht="24.2" customHeight="1">
      <c r="B190" s="126"/>
      <c r="C190" s="127" t="s">
        <v>383</v>
      </c>
      <c r="D190" s="127" t="s">
        <v>144</v>
      </c>
      <c r="E190" s="128" t="s">
        <v>1314</v>
      </c>
      <c r="F190" s="129" t="s">
        <v>1313</v>
      </c>
      <c r="G190" s="130" t="s">
        <v>147</v>
      </c>
      <c r="H190" s="131">
        <v>7</v>
      </c>
      <c r="I190" s="132">
        <v>324</v>
      </c>
      <c r="J190" s="132">
        <f t="shared" si="30"/>
        <v>2268</v>
      </c>
      <c r="K190" s="129" t="s">
        <v>148</v>
      </c>
      <c r="L190" s="27"/>
      <c r="M190" s="133" t="s">
        <v>1</v>
      </c>
      <c r="N190" s="134" t="s">
        <v>39</v>
      </c>
      <c r="O190" s="135">
        <v>0.60699999999999998</v>
      </c>
      <c r="P190" s="135">
        <f t="shared" si="31"/>
        <v>4.2489999999999997</v>
      </c>
      <c r="Q190" s="135">
        <v>0</v>
      </c>
      <c r="R190" s="135">
        <f t="shared" si="32"/>
        <v>0</v>
      </c>
      <c r="S190" s="135">
        <v>0</v>
      </c>
      <c r="T190" s="136">
        <f t="shared" si="33"/>
        <v>0</v>
      </c>
      <c r="AR190" s="137" t="s">
        <v>206</v>
      </c>
      <c r="AT190" s="137" t="s">
        <v>144</v>
      </c>
      <c r="AU190" s="137" t="s">
        <v>143</v>
      </c>
      <c r="AY190" s="15" t="s">
        <v>141</v>
      </c>
      <c r="BE190" s="138">
        <f t="shared" si="34"/>
        <v>0</v>
      </c>
      <c r="BF190" s="138">
        <f t="shared" si="35"/>
        <v>2268</v>
      </c>
      <c r="BG190" s="138">
        <f t="shared" si="36"/>
        <v>0</v>
      </c>
      <c r="BH190" s="138">
        <f t="shared" si="37"/>
        <v>0</v>
      </c>
      <c r="BI190" s="138">
        <f t="shared" si="38"/>
        <v>0</v>
      </c>
      <c r="BJ190" s="15" t="s">
        <v>143</v>
      </c>
      <c r="BK190" s="138">
        <f t="shared" si="39"/>
        <v>2268</v>
      </c>
      <c r="BL190" s="15" t="s">
        <v>206</v>
      </c>
      <c r="BM190" s="137" t="s">
        <v>1312</v>
      </c>
    </row>
    <row r="191" spans="2:65" s="1" customFormat="1" ht="16.5" customHeight="1">
      <c r="B191" s="126"/>
      <c r="C191" s="139" t="s">
        <v>388</v>
      </c>
      <c r="D191" s="139" t="s">
        <v>207</v>
      </c>
      <c r="E191" s="140" t="s">
        <v>1311</v>
      </c>
      <c r="F191" s="141" t="s">
        <v>1310</v>
      </c>
      <c r="G191" s="142" t="s">
        <v>147</v>
      </c>
      <c r="H191" s="143">
        <v>7</v>
      </c>
      <c r="I191" s="144">
        <v>7170</v>
      </c>
      <c r="J191" s="144">
        <f t="shared" si="30"/>
        <v>50190</v>
      </c>
      <c r="K191" s="141" t="s">
        <v>148</v>
      </c>
      <c r="L191" s="145"/>
      <c r="M191" s="146" t="s">
        <v>1</v>
      </c>
      <c r="N191" s="147" t="s">
        <v>39</v>
      </c>
      <c r="O191" s="135">
        <v>0</v>
      </c>
      <c r="P191" s="135">
        <f t="shared" si="31"/>
        <v>0</v>
      </c>
      <c r="Q191" s="135">
        <v>4.7399999999999998E-2</v>
      </c>
      <c r="R191" s="135">
        <f t="shared" si="32"/>
        <v>0.33179999999999998</v>
      </c>
      <c r="S191" s="135">
        <v>0</v>
      </c>
      <c r="T191" s="136">
        <f t="shared" si="33"/>
        <v>0</v>
      </c>
      <c r="AR191" s="137" t="s">
        <v>274</v>
      </c>
      <c r="AT191" s="137" t="s">
        <v>207</v>
      </c>
      <c r="AU191" s="137" t="s">
        <v>143</v>
      </c>
      <c r="AY191" s="15" t="s">
        <v>141</v>
      </c>
      <c r="BE191" s="138">
        <f t="shared" si="34"/>
        <v>0</v>
      </c>
      <c r="BF191" s="138">
        <f t="shared" si="35"/>
        <v>50190</v>
      </c>
      <c r="BG191" s="138">
        <f t="shared" si="36"/>
        <v>0</v>
      </c>
      <c r="BH191" s="138">
        <f t="shared" si="37"/>
        <v>0</v>
      </c>
      <c r="BI191" s="138">
        <f t="shared" si="38"/>
        <v>0</v>
      </c>
      <c r="BJ191" s="15" t="s">
        <v>143</v>
      </c>
      <c r="BK191" s="138">
        <f t="shared" si="39"/>
        <v>50190</v>
      </c>
      <c r="BL191" s="15" t="s">
        <v>206</v>
      </c>
      <c r="BM191" s="137" t="s">
        <v>1309</v>
      </c>
    </row>
    <row r="192" spans="2:65" s="1" customFormat="1" ht="21.75" customHeight="1">
      <c r="B192" s="126"/>
      <c r="C192" s="127" t="s">
        <v>392</v>
      </c>
      <c r="D192" s="127" t="s">
        <v>144</v>
      </c>
      <c r="E192" s="128" t="s">
        <v>1308</v>
      </c>
      <c r="F192" s="129" t="s">
        <v>1307</v>
      </c>
      <c r="G192" s="130" t="s">
        <v>147</v>
      </c>
      <c r="H192" s="131">
        <v>16</v>
      </c>
      <c r="I192" s="132">
        <v>28.9</v>
      </c>
      <c r="J192" s="132">
        <f t="shared" si="30"/>
        <v>462.4</v>
      </c>
      <c r="K192" s="129" t="s">
        <v>148</v>
      </c>
      <c r="L192" s="27"/>
      <c r="M192" s="133" t="s">
        <v>1</v>
      </c>
      <c r="N192" s="134" t="s">
        <v>39</v>
      </c>
      <c r="O192" s="135">
        <v>6.2E-2</v>
      </c>
      <c r="P192" s="135">
        <f t="shared" si="31"/>
        <v>0.99199999999999999</v>
      </c>
      <c r="Q192" s="135">
        <v>0</v>
      </c>
      <c r="R192" s="135">
        <f t="shared" si="32"/>
        <v>0</v>
      </c>
      <c r="S192" s="135">
        <v>0</v>
      </c>
      <c r="T192" s="136">
        <f t="shared" si="33"/>
        <v>0</v>
      </c>
      <c r="AR192" s="137" t="s">
        <v>206</v>
      </c>
      <c r="AT192" s="137" t="s">
        <v>144</v>
      </c>
      <c r="AU192" s="137" t="s">
        <v>143</v>
      </c>
      <c r="AY192" s="15" t="s">
        <v>141</v>
      </c>
      <c r="BE192" s="138">
        <f t="shared" si="34"/>
        <v>0</v>
      </c>
      <c r="BF192" s="138">
        <f t="shared" si="35"/>
        <v>462.4</v>
      </c>
      <c r="BG192" s="138">
        <f t="shared" si="36"/>
        <v>0</v>
      </c>
      <c r="BH192" s="138">
        <f t="shared" si="37"/>
        <v>0</v>
      </c>
      <c r="BI192" s="138">
        <f t="shared" si="38"/>
        <v>0</v>
      </c>
      <c r="BJ192" s="15" t="s">
        <v>143</v>
      </c>
      <c r="BK192" s="138">
        <f t="shared" si="39"/>
        <v>462.4</v>
      </c>
      <c r="BL192" s="15" t="s">
        <v>206</v>
      </c>
      <c r="BM192" s="137" t="s">
        <v>1306</v>
      </c>
    </row>
    <row r="193" spans="2:65" s="1" customFormat="1" ht="37.9" customHeight="1">
      <c r="B193" s="126"/>
      <c r="C193" s="127" t="s">
        <v>397</v>
      </c>
      <c r="D193" s="127" t="s">
        <v>144</v>
      </c>
      <c r="E193" s="128" t="s">
        <v>1305</v>
      </c>
      <c r="F193" s="129" t="s">
        <v>1304</v>
      </c>
      <c r="G193" s="130" t="s">
        <v>193</v>
      </c>
      <c r="H193" s="131">
        <v>1100</v>
      </c>
      <c r="I193" s="132">
        <v>58.7</v>
      </c>
      <c r="J193" s="132">
        <f t="shared" si="30"/>
        <v>64570</v>
      </c>
      <c r="K193" s="129" t="s">
        <v>148</v>
      </c>
      <c r="L193" s="27"/>
      <c r="M193" s="133" t="s">
        <v>1</v>
      </c>
      <c r="N193" s="134" t="s">
        <v>39</v>
      </c>
      <c r="O193" s="135">
        <v>2.7E-2</v>
      </c>
      <c r="P193" s="135">
        <f t="shared" si="31"/>
        <v>29.7</v>
      </c>
      <c r="Q193" s="135">
        <v>1.1E-4</v>
      </c>
      <c r="R193" s="135">
        <f t="shared" si="32"/>
        <v>0.12100000000000001</v>
      </c>
      <c r="S193" s="135">
        <v>0</v>
      </c>
      <c r="T193" s="136">
        <f t="shared" si="33"/>
        <v>0</v>
      </c>
      <c r="AR193" s="137" t="s">
        <v>206</v>
      </c>
      <c r="AT193" s="137" t="s">
        <v>144</v>
      </c>
      <c r="AU193" s="137" t="s">
        <v>143</v>
      </c>
      <c r="AY193" s="15" t="s">
        <v>141</v>
      </c>
      <c r="BE193" s="138">
        <f t="shared" si="34"/>
        <v>0</v>
      </c>
      <c r="BF193" s="138">
        <f t="shared" si="35"/>
        <v>64570</v>
      </c>
      <c r="BG193" s="138">
        <f t="shared" si="36"/>
        <v>0</v>
      </c>
      <c r="BH193" s="138">
        <f t="shared" si="37"/>
        <v>0</v>
      </c>
      <c r="BI193" s="138">
        <f t="shared" si="38"/>
        <v>0</v>
      </c>
      <c r="BJ193" s="15" t="s">
        <v>143</v>
      </c>
      <c r="BK193" s="138">
        <f t="shared" si="39"/>
        <v>64570</v>
      </c>
      <c r="BL193" s="15" t="s">
        <v>206</v>
      </c>
      <c r="BM193" s="137" t="s">
        <v>1303</v>
      </c>
    </row>
    <row r="194" spans="2:65" s="12" customFormat="1">
      <c r="B194" s="148"/>
      <c r="D194" s="149" t="s">
        <v>363</v>
      </c>
      <c r="E194" s="154" t="s">
        <v>1</v>
      </c>
      <c r="F194" s="150" t="s">
        <v>1302</v>
      </c>
      <c r="H194" s="151">
        <v>800</v>
      </c>
      <c r="L194" s="148"/>
      <c r="M194" s="152"/>
      <c r="T194" s="153"/>
      <c r="AT194" s="154" t="s">
        <v>363</v>
      </c>
      <c r="AU194" s="154" t="s">
        <v>143</v>
      </c>
      <c r="AV194" s="12" t="s">
        <v>143</v>
      </c>
      <c r="AW194" s="12" t="s">
        <v>29</v>
      </c>
      <c r="AX194" s="12" t="s">
        <v>73</v>
      </c>
      <c r="AY194" s="154" t="s">
        <v>141</v>
      </c>
    </row>
    <row r="195" spans="2:65" s="12" customFormat="1">
      <c r="B195" s="148"/>
      <c r="D195" s="149" t="s">
        <v>363</v>
      </c>
      <c r="E195" s="154" t="s">
        <v>1</v>
      </c>
      <c r="F195" s="150" t="s">
        <v>1301</v>
      </c>
      <c r="H195" s="151">
        <v>300</v>
      </c>
      <c r="L195" s="148"/>
      <c r="M195" s="152"/>
      <c r="T195" s="153"/>
      <c r="AT195" s="154" t="s">
        <v>363</v>
      </c>
      <c r="AU195" s="154" t="s">
        <v>143</v>
      </c>
      <c r="AV195" s="12" t="s">
        <v>143</v>
      </c>
      <c r="AW195" s="12" t="s">
        <v>29</v>
      </c>
      <c r="AX195" s="12" t="s">
        <v>73</v>
      </c>
      <c r="AY195" s="154" t="s">
        <v>141</v>
      </c>
    </row>
    <row r="196" spans="2:65" s="13" customFormat="1">
      <c r="B196" s="159"/>
      <c r="D196" s="149" t="s">
        <v>363</v>
      </c>
      <c r="E196" s="160" t="s">
        <v>1</v>
      </c>
      <c r="F196" s="161" t="s">
        <v>1223</v>
      </c>
      <c r="H196" s="162">
        <v>1100</v>
      </c>
      <c r="L196" s="159"/>
      <c r="M196" s="163"/>
      <c r="T196" s="164"/>
      <c r="AT196" s="160" t="s">
        <v>363</v>
      </c>
      <c r="AU196" s="160" t="s">
        <v>143</v>
      </c>
      <c r="AV196" s="13" t="s">
        <v>149</v>
      </c>
      <c r="AW196" s="13" t="s">
        <v>29</v>
      </c>
      <c r="AX196" s="13" t="s">
        <v>81</v>
      </c>
      <c r="AY196" s="160" t="s">
        <v>141</v>
      </c>
    </row>
    <row r="197" spans="2:65" s="1" customFormat="1" ht="37.9" customHeight="1">
      <c r="B197" s="126"/>
      <c r="C197" s="127" t="s">
        <v>401</v>
      </c>
      <c r="D197" s="127" t="s">
        <v>144</v>
      </c>
      <c r="E197" s="128" t="s">
        <v>1300</v>
      </c>
      <c r="F197" s="129" t="s">
        <v>1299</v>
      </c>
      <c r="G197" s="130" t="s">
        <v>193</v>
      </c>
      <c r="H197" s="131">
        <v>7600</v>
      </c>
      <c r="I197" s="132">
        <v>58.1</v>
      </c>
      <c r="J197" s="132">
        <f>ROUND(I197*H197,2)</f>
        <v>441560</v>
      </c>
      <c r="K197" s="129" t="s">
        <v>148</v>
      </c>
      <c r="L197" s="27"/>
      <c r="M197" s="133" t="s">
        <v>1</v>
      </c>
      <c r="N197" s="134" t="s">
        <v>39</v>
      </c>
      <c r="O197" s="135">
        <v>2.5999999999999999E-2</v>
      </c>
      <c r="P197" s="135">
        <f>O197*H197</f>
        <v>197.6</v>
      </c>
      <c r="Q197" s="135">
        <v>1.1E-4</v>
      </c>
      <c r="R197" s="135">
        <f>Q197*H197</f>
        <v>0.83600000000000008</v>
      </c>
      <c r="S197" s="135">
        <v>0</v>
      </c>
      <c r="T197" s="136">
        <f>S197*H197</f>
        <v>0</v>
      </c>
      <c r="AR197" s="137" t="s">
        <v>206</v>
      </c>
      <c r="AT197" s="137" t="s">
        <v>144</v>
      </c>
      <c r="AU197" s="137" t="s">
        <v>143</v>
      </c>
      <c r="AY197" s="15" t="s">
        <v>141</v>
      </c>
      <c r="BE197" s="138">
        <f>IF(N197="základní",J197,0)</f>
        <v>0</v>
      </c>
      <c r="BF197" s="138">
        <f>IF(N197="snížená",J197,0)</f>
        <v>441560</v>
      </c>
      <c r="BG197" s="138">
        <f>IF(N197="zákl. přenesená",J197,0)</f>
        <v>0</v>
      </c>
      <c r="BH197" s="138">
        <f>IF(N197="sníž. přenesená",J197,0)</f>
        <v>0</v>
      </c>
      <c r="BI197" s="138">
        <f>IF(N197="nulová",J197,0)</f>
        <v>0</v>
      </c>
      <c r="BJ197" s="15" t="s">
        <v>143</v>
      </c>
      <c r="BK197" s="138">
        <f>ROUND(I197*H197,2)</f>
        <v>441560</v>
      </c>
      <c r="BL197" s="15" t="s">
        <v>206</v>
      </c>
      <c r="BM197" s="137" t="s">
        <v>1298</v>
      </c>
    </row>
    <row r="198" spans="2:65" s="12" customFormat="1">
      <c r="B198" s="148"/>
      <c r="D198" s="149" t="s">
        <v>363</v>
      </c>
      <c r="E198" s="154" t="s">
        <v>1</v>
      </c>
      <c r="F198" s="150" t="s">
        <v>1297</v>
      </c>
      <c r="H198" s="151">
        <v>4600</v>
      </c>
      <c r="L198" s="148"/>
      <c r="M198" s="152"/>
      <c r="T198" s="153"/>
      <c r="AT198" s="154" t="s">
        <v>363</v>
      </c>
      <c r="AU198" s="154" t="s">
        <v>143</v>
      </c>
      <c r="AV198" s="12" t="s">
        <v>143</v>
      </c>
      <c r="AW198" s="12" t="s">
        <v>29</v>
      </c>
      <c r="AX198" s="12" t="s">
        <v>73</v>
      </c>
      <c r="AY198" s="154" t="s">
        <v>141</v>
      </c>
    </row>
    <row r="199" spans="2:65" s="12" customFormat="1">
      <c r="B199" s="148"/>
      <c r="D199" s="149" t="s">
        <v>363</v>
      </c>
      <c r="E199" s="154" t="s">
        <v>1</v>
      </c>
      <c r="F199" s="150" t="s">
        <v>1296</v>
      </c>
      <c r="H199" s="151">
        <v>3000</v>
      </c>
      <c r="L199" s="148"/>
      <c r="M199" s="152"/>
      <c r="T199" s="153"/>
      <c r="AT199" s="154" t="s">
        <v>363</v>
      </c>
      <c r="AU199" s="154" t="s">
        <v>143</v>
      </c>
      <c r="AV199" s="12" t="s">
        <v>143</v>
      </c>
      <c r="AW199" s="12" t="s">
        <v>29</v>
      </c>
      <c r="AX199" s="12" t="s">
        <v>73</v>
      </c>
      <c r="AY199" s="154" t="s">
        <v>141</v>
      </c>
    </row>
    <row r="200" spans="2:65" s="13" customFormat="1">
      <c r="B200" s="159"/>
      <c r="D200" s="149" t="s">
        <v>363</v>
      </c>
      <c r="E200" s="160" t="s">
        <v>1</v>
      </c>
      <c r="F200" s="161" t="s">
        <v>1223</v>
      </c>
      <c r="H200" s="162">
        <v>7600</v>
      </c>
      <c r="L200" s="159"/>
      <c r="M200" s="163"/>
      <c r="T200" s="164"/>
      <c r="AT200" s="160" t="s">
        <v>363</v>
      </c>
      <c r="AU200" s="160" t="s">
        <v>143</v>
      </c>
      <c r="AV200" s="13" t="s">
        <v>149</v>
      </c>
      <c r="AW200" s="13" t="s">
        <v>29</v>
      </c>
      <c r="AX200" s="13" t="s">
        <v>81</v>
      </c>
      <c r="AY200" s="160" t="s">
        <v>141</v>
      </c>
    </row>
    <row r="201" spans="2:65" s="1" customFormat="1" ht="37.9" customHeight="1">
      <c r="B201" s="126"/>
      <c r="C201" s="127" t="s">
        <v>405</v>
      </c>
      <c r="D201" s="127" t="s">
        <v>144</v>
      </c>
      <c r="E201" s="128" t="s">
        <v>1295</v>
      </c>
      <c r="F201" s="129" t="s">
        <v>1294</v>
      </c>
      <c r="G201" s="130" t="s">
        <v>193</v>
      </c>
      <c r="H201" s="131">
        <v>170</v>
      </c>
      <c r="I201" s="132">
        <v>56.7</v>
      </c>
      <c r="J201" s="132">
        <f>ROUND(I201*H201,2)</f>
        <v>9639</v>
      </c>
      <c r="K201" s="129" t="s">
        <v>148</v>
      </c>
      <c r="L201" s="27"/>
      <c r="M201" s="133" t="s">
        <v>1</v>
      </c>
      <c r="N201" s="134" t="s">
        <v>39</v>
      </c>
      <c r="O201" s="135">
        <v>2.3E-2</v>
      </c>
      <c r="P201" s="135">
        <f>O201*H201</f>
        <v>3.91</v>
      </c>
      <c r="Q201" s="135">
        <v>1.1E-4</v>
      </c>
      <c r="R201" s="135">
        <f>Q201*H201</f>
        <v>1.8700000000000001E-2</v>
      </c>
      <c r="S201" s="135">
        <v>0</v>
      </c>
      <c r="T201" s="136">
        <f>S201*H201</f>
        <v>0</v>
      </c>
      <c r="AR201" s="137" t="s">
        <v>206</v>
      </c>
      <c r="AT201" s="137" t="s">
        <v>144</v>
      </c>
      <c r="AU201" s="137" t="s">
        <v>143</v>
      </c>
      <c r="AY201" s="15" t="s">
        <v>141</v>
      </c>
      <c r="BE201" s="138">
        <f>IF(N201="základní",J201,0)</f>
        <v>0</v>
      </c>
      <c r="BF201" s="138">
        <f>IF(N201="snížená",J201,0)</f>
        <v>9639</v>
      </c>
      <c r="BG201" s="138">
        <f>IF(N201="zákl. přenesená",J201,0)</f>
        <v>0</v>
      </c>
      <c r="BH201" s="138">
        <f>IF(N201="sníž. přenesená",J201,0)</f>
        <v>0</v>
      </c>
      <c r="BI201" s="138">
        <f>IF(N201="nulová",J201,0)</f>
        <v>0</v>
      </c>
      <c r="BJ201" s="15" t="s">
        <v>143</v>
      </c>
      <c r="BK201" s="138">
        <f>ROUND(I201*H201,2)</f>
        <v>9639</v>
      </c>
      <c r="BL201" s="15" t="s">
        <v>206</v>
      </c>
      <c r="BM201" s="137" t="s">
        <v>1293</v>
      </c>
    </row>
    <row r="202" spans="2:65" s="12" customFormat="1">
      <c r="B202" s="148"/>
      <c r="D202" s="149" t="s">
        <v>363</v>
      </c>
      <c r="E202" s="154" t="s">
        <v>1</v>
      </c>
      <c r="F202" s="150" t="s">
        <v>1292</v>
      </c>
      <c r="H202" s="151">
        <v>170</v>
      </c>
      <c r="L202" s="148"/>
      <c r="M202" s="152"/>
      <c r="T202" s="153"/>
      <c r="AT202" s="154" t="s">
        <v>363</v>
      </c>
      <c r="AU202" s="154" t="s">
        <v>143</v>
      </c>
      <c r="AV202" s="12" t="s">
        <v>143</v>
      </c>
      <c r="AW202" s="12" t="s">
        <v>29</v>
      </c>
      <c r="AX202" s="12" t="s">
        <v>81</v>
      </c>
      <c r="AY202" s="154" t="s">
        <v>141</v>
      </c>
    </row>
    <row r="203" spans="2:65" s="1" customFormat="1" ht="37.9" customHeight="1">
      <c r="B203" s="126"/>
      <c r="C203" s="127" t="s">
        <v>409</v>
      </c>
      <c r="D203" s="127" t="s">
        <v>144</v>
      </c>
      <c r="E203" s="128" t="s">
        <v>1291</v>
      </c>
      <c r="F203" s="129" t="s">
        <v>1290</v>
      </c>
      <c r="G203" s="130" t="s">
        <v>157</v>
      </c>
      <c r="H203" s="131">
        <v>1300</v>
      </c>
      <c r="I203" s="132">
        <v>421</v>
      </c>
      <c r="J203" s="132">
        <f>ROUND(I203*H203,2)</f>
        <v>547300</v>
      </c>
      <c r="K203" s="129" t="s">
        <v>148</v>
      </c>
      <c r="L203" s="27"/>
      <c r="M203" s="133" t="s">
        <v>1</v>
      </c>
      <c r="N203" s="134" t="s">
        <v>39</v>
      </c>
      <c r="O203" s="135">
        <v>0.11</v>
      </c>
      <c r="P203" s="135">
        <f>O203*H203</f>
        <v>143</v>
      </c>
      <c r="Q203" s="135">
        <v>1.2099999999999999E-3</v>
      </c>
      <c r="R203" s="135">
        <f>Q203*H203</f>
        <v>1.573</v>
      </c>
      <c r="S203" s="135">
        <v>0</v>
      </c>
      <c r="T203" s="136">
        <f>S203*H203</f>
        <v>0</v>
      </c>
      <c r="AR203" s="137" t="s">
        <v>206</v>
      </c>
      <c r="AT203" s="137" t="s">
        <v>144</v>
      </c>
      <c r="AU203" s="137" t="s">
        <v>143</v>
      </c>
      <c r="AY203" s="15" t="s">
        <v>141</v>
      </c>
      <c r="BE203" s="138">
        <f>IF(N203="základní",J203,0)</f>
        <v>0</v>
      </c>
      <c r="BF203" s="138">
        <f>IF(N203="snížená",J203,0)</f>
        <v>547300</v>
      </c>
      <c r="BG203" s="138">
        <f>IF(N203="zákl. přenesená",J203,0)</f>
        <v>0</v>
      </c>
      <c r="BH203" s="138">
        <f>IF(N203="sníž. přenesená",J203,0)</f>
        <v>0</v>
      </c>
      <c r="BI203" s="138">
        <f>IF(N203="nulová",J203,0)</f>
        <v>0</v>
      </c>
      <c r="BJ203" s="15" t="s">
        <v>143</v>
      </c>
      <c r="BK203" s="138">
        <f>ROUND(I203*H203,2)</f>
        <v>547300</v>
      </c>
      <c r="BL203" s="15" t="s">
        <v>206</v>
      </c>
      <c r="BM203" s="137" t="s">
        <v>1289</v>
      </c>
    </row>
    <row r="204" spans="2:65" s="1" customFormat="1" ht="24.2" customHeight="1">
      <c r="B204" s="126"/>
      <c r="C204" s="127" t="s">
        <v>413</v>
      </c>
      <c r="D204" s="127" t="s">
        <v>144</v>
      </c>
      <c r="E204" s="128" t="s">
        <v>1288</v>
      </c>
      <c r="F204" s="129" t="s">
        <v>1287</v>
      </c>
      <c r="G204" s="130" t="s">
        <v>193</v>
      </c>
      <c r="H204" s="131">
        <v>1300</v>
      </c>
      <c r="I204" s="132">
        <v>41.8</v>
      </c>
      <c r="J204" s="132">
        <f>ROUND(I204*H204,2)</f>
        <v>54340</v>
      </c>
      <c r="K204" s="129" t="s">
        <v>148</v>
      </c>
      <c r="L204" s="27"/>
      <c r="M204" s="133" t="s">
        <v>1</v>
      </c>
      <c r="N204" s="134" t="s">
        <v>39</v>
      </c>
      <c r="O204" s="135">
        <v>3.2000000000000001E-2</v>
      </c>
      <c r="P204" s="135">
        <f>O204*H204</f>
        <v>41.6</v>
      </c>
      <c r="Q204" s="135">
        <v>6.0000000000000002E-5</v>
      </c>
      <c r="R204" s="135">
        <f>Q204*H204</f>
        <v>7.8E-2</v>
      </c>
      <c r="S204" s="135">
        <v>0</v>
      </c>
      <c r="T204" s="136">
        <f>S204*H204</f>
        <v>0</v>
      </c>
      <c r="AR204" s="137" t="s">
        <v>206</v>
      </c>
      <c r="AT204" s="137" t="s">
        <v>144</v>
      </c>
      <c r="AU204" s="137" t="s">
        <v>143</v>
      </c>
      <c r="AY204" s="15" t="s">
        <v>141</v>
      </c>
      <c r="BE204" s="138">
        <f>IF(N204="základní",J204,0)</f>
        <v>0</v>
      </c>
      <c r="BF204" s="138">
        <f>IF(N204="snížená",J204,0)</f>
        <v>54340</v>
      </c>
      <c r="BG204" s="138">
        <f>IF(N204="zákl. přenesená",J204,0)</f>
        <v>0</v>
      </c>
      <c r="BH204" s="138">
        <f>IF(N204="sníž. přenesená",J204,0)</f>
        <v>0</v>
      </c>
      <c r="BI204" s="138">
        <f>IF(N204="nulová",J204,0)</f>
        <v>0</v>
      </c>
      <c r="BJ204" s="15" t="s">
        <v>143</v>
      </c>
      <c r="BK204" s="138">
        <f>ROUND(I204*H204,2)</f>
        <v>54340</v>
      </c>
      <c r="BL204" s="15" t="s">
        <v>206</v>
      </c>
      <c r="BM204" s="137" t="s">
        <v>1286</v>
      </c>
    </row>
    <row r="205" spans="2:65" s="1" customFormat="1" ht="24.2" customHeight="1">
      <c r="B205" s="126"/>
      <c r="C205" s="127" t="s">
        <v>417</v>
      </c>
      <c r="D205" s="127" t="s">
        <v>144</v>
      </c>
      <c r="E205" s="128" t="s">
        <v>1285</v>
      </c>
      <c r="F205" s="129" t="s">
        <v>1284</v>
      </c>
      <c r="G205" s="130" t="s">
        <v>193</v>
      </c>
      <c r="H205" s="131">
        <v>500</v>
      </c>
      <c r="I205" s="132">
        <v>42</v>
      </c>
      <c r="J205" s="132">
        <f>ROUND(I205*H205,2)</f>
        <v>21000</v>
      </c>
      <c r="K205" s="129" t="s">
        <v>148</v>
      </c>
      <c r="L205" s="27"/>
      <c r="M205" s="133" t="s">
        <v>1</v>
      </c>
      <c r="N205" s="134" t="s">
        <v>39</v>
      </c>
      <c r="O205" s="135">
        <v>3.2000000000000001E-2</v>
      </c>
      <c r="P205" s="135">
        <f>O205*H205</f>
        <v>16</v>
      </c>
      <c r="Q205" s="135">
        <v>1E-4</v>
      </c>
      <c r="R205" s="135">
        <f>Q205*H205</f>
        <v>0.05</v>
      </c>
      <c r="S205" s="135">
        <v>0</v>
      </c>
      <c r="T205" s="136">
        <f>S205*H205</f>
        <v>0</v>
      </c>
      <c r="AR205" s="137" t="s">
        <v>206</v>
      </c>
      <c r="AT205" s="137" t="s">
        <v>144</v>
      </c>
      <c r="AU205" s="137" t="s">
        <v>143</v>
      </c>
      <c r="AY205" s="15" t="s">
        <v>141</v>
      </c>
      <c r="BE205" s="138">
        <f>IF(N205="základní",J205,0)</f>
        <v>0</v>
      </c>
      <c r="BF205" s="138">
        <f>IF(N205="snížená",J205,0)</f>
        <v>21000</v>
      </c>
      <c r="BG205" s="138">
        <f>IF(N205="zákl. přenesená",J205,0)</f>
        <v>0</v>
      </c>
      <c r="BH205" s="138">
        <f>IF(N205="sníž. přenesená",J205,0)</f>
        <v>0</v>
      </c>
      <c r="BI205" s="138">
        <f>IF(N205="nulová",J205,0)</f>
        <v>0</v>
      </c>
      <c r="BJ205" s="15" t="s">
        <v>143</v>
      </c>
      <c r="BK205" s="138">
        <f>ROUND(I205*H205,2)</f>
        <v>21000</v>
      </c>
      <c r="BL205" s="15" t="s">
        <v>206</v>
      </c>
      <c r="BM205" s="137" t="s">
        <v>1283</v>
      </c>
    </row>
    <row r="206" spans="2:65" s="1" customFormat="1" ht="24.2" customHeight="1">
      <c r="B206" s="126"/>
      <c r="C206" s="127" t="s">
        <v>421</v>
      </c>
      <c r="D206" s="127" t="s">
        <v>144</v>
      </c>
      <c r="E206" s="128" t="s">
        <v>1282</v>
      </c>
      <c r="F206" s="129" t="s">
        <v>1281</v>
      </c>
      <c r="G206" s="130" t="s">
        <v>193</v>
      </c>
      <c r="H206" s="131">
        <v>130</v>
      </c>
      <c r="I206" s="132">
        <v>207</v>
      </c>
      <c r="J206" s="132">
        <f>ROUND(I206*H206,2)</f>
        <v>26910</v>
      </c>
      <c r="K206" s="129" t="s">
        <v>148</v>
      </c>
      <c r="L206" s="27"/>
      <c r="M206" s="133" t="s">
        <v>1</v>
      </c>
      <c r="N206" s="134" t="s">
        <v>39</v>
      </c>
      <c r="O206" s="135">
        <v>0.08</v>
      </c>
      <c r="P206" s="135">
        <f>O206*H206</f>
        <v>10.4</v>
      </c>
      <c r="Q206" s="135">
        <v>6.0000000000000002E-5</v>
      </c>
      <c r="R206" s="135">
        <f>Q206*H206</f>
        <v>7.8000000000000005E-3</v>
      </c>
      <c r="S206" s="135">
        <v>0</v>
      </c>
      <c r="T206" s="136">
        <f>S206*H206</f>
        <v>0</v>
      </c>
      <c r="AR206" s="137" t="s">
        <v>206</v>
      </c>
      <c r="AT206" s="137" t="s">
        <v>144</v>
      </c>
      <c r="AU206" s="137" t="s">
        <v>143</v>
      </c>
      <c r="AY206" s="15" t="s">
        <v>141</v>
      </c>
      <c r="BE206" s="138">
        <f>IF(N206="základní",J206,0)</f>
        <v>0</v>
      </c>
      <c r="BF206" s="138">
        <f>IF(N206="snížená",J206,0)</f>
        <v>26910</v>
      </c>
      <c r="BG206" s="138">
        <f>IF(N206="zákl. přenesená",J206,0)</f>
        <v>0</v>
      </c>
      <c r="BH206" s="138">
        <f>IF(N206="sníž. přenesená",J206,0)</f>
        <v>0</v>
      </c>
      <c r="BI206" s="138">
        <f>IF(N206="nulová",J206,0)</f>
        <v>0</v>
      </c>
      <c r="BJ206" s="15" t="s">
        <v>143</v>
      </c>
      <c r="BK206" s="138">
        <f>ROUND(I206*H206,2)</f>
        <v>26910</v>
      </c>
      <c r="BL206" s="15" t="s">
        <v>206</v>
      </c>
      <c r="BM206" s="137" t="s">
        <v>1280</v>
      </c>
    </row>
    <row r="207" spans="2:65" s="1" customFormat="1" ht="37.9" customHeight="1">
      <c r="B207" s="126"/>
      <c r="C207" s="127" t="s">
        <v>426</v>
      </c>
      <c r="D207" s="127" t="s">
        <v>144</v>
      </c>
      <c r="E207" s="128" t="s">
        <v>1279</v>
      </c>
      <c r="F207" s="129" t="s">
        <v>1278</v>
      </c>
      <c r="G207" s="130" t="s">
        <v>193</v>
      </c>
      <c r="H207" s="131">
        <v>850</v>
      </c>
      <c r="I207" s="132">
        <v>53.9</v>
      </c>
      <c r="J207" s="132">
        <f>ROUND(I207*H207,2)</f>
        <v>45815</v>
      </c>
      <c r="K207" s="129" t="s">
        <v>148</v>
      </c>
      <c r="L207" s="27"/>
      <c r="M207" s="133" t="s">
        <v>1</v>
      </c>
      <c r="N207" s="134" t="s">
        <v>39</v>
      </c>
      <c r="O207" s="135">
        <v>2.4E-2</v>
      </c>
      <c r="P207" s="135">
        <f>O207*H207</f>
        <v>20.400000000000002</v>
      </c>
      <c r="Q207" s="135">
        <v>1.2E-4</v>
      </c>
      <c r="R207" s="135">
        <f>Q207*H207</f>
        <v>0.10200000000000001</v>
      </c>
      <c r="S207" s="135">
        <v>0</v>
      </c>
      <c r="T207" s="136">
        <f>S207*H207</f>
        <v>0</v>
      </c>
      <c r="AR207" s="137" t="s">
        <v>206</v>
      </c>
      <c r="AT207" s="137" t="s">
        <v>144</v>
      </c>
      <c r="AU207" s="137" t="s">
        <v>143</v>
      </c>
      <c r="AY207" s="15" t="s">
        <v>141</v>
      </c>
      <c r="BE207" s="138">
        <f>IF(N207="základní",J207,0)</f>
        <v>0</v>
      </c>
      <c r="BF207" s="138">
        <f>IF(N207="snížená",J207,0)</f>
        <v>45815</v>
      </c>
      <c r="BG207" s="138">
        <f>IF(N207="zákl. přenesená",J207,0)</f>
        <v>0</v>
      </c>
      <c r="BH207" s="138">
        <f>IF(N207="sníž. přenesená",J207,0)</f>
        <v>0</v>
      </c>
      <c r="BI207" s="138">
        <f>IF(N207="nulová",J207,0)</f>
        <v>0</v>
      </c>
      <c r="BJ207" s="15" t="s">
        <v>143</v>
      </c>
      <c r="BK207" s="138">
        <f>ROUND(I207*H207,2)</f>
        <v>45815</v>
      </c>
      <c r="BL207" s="15" t="s">
        <v>206</v>
      </c>
      <c r="BM207" s="137" t="s">
        <v>1277</v>
      </c>
    </row>
    <row r="208" spans="2:65" s="12" customFormat="1">
      <c r="B208" s="148"/>
      <c r="D208" s="149" t="s">
        <v>363</v>
      </c>
      <c r="E208" s="154" t="s">
        <v>1</v>
      </c>
      <c r="F208" s="150" t="s">
        <v>1276</v>
      </c>
      <c r="H208" s="151">
        <v>850</v>
      </c>
      <c r="L208" s="148"/>
      <c r="M208" s="152"/>
      <c r="T208" s="153"/>
      <c r="AT208" s="154" t="s">
        <v>363</v>
      </c>
      <c r="AU208" s="154" t="s">
        <v>143</v>
      </c>
      <c r="AV208" s="12" t="s">
        <v>143</v>
      </c>
      <c r="AW208" s="12" t="s">
        <v>29</v>
      </c>
      <c r="AX208" s="12" t="s">
        <v>81</v>
      </c>
      <c r="AY208" s="154" t="s">
        <v>141</v>
      </c>
    </row>
    <row r="209" spans="2:65" s="1" customFormat="1" ht="33" customHeight="1">
      <c r="B209" s="126"/>
      <c r="C209" s="127" t="s">
        <v>431</v>
      </c>
      <c r="D209" s="127" t="s">
        <v>144</v>
      </c>
      <c r="E209" s="128" t="s">
        <v>1275</v>
      </c>
      <c r="F209" s="129" t="s">
        <v>1274</v>
      </c>
      <c r="G209" s="130" t="s">
        <v>147</v>
      </c>
      <c r="H209" s="131">
        <v>1</v>
      </c>
      <c r="I209" s="132">
        <v>6520</v>
      </c>
      <c r="J209" s="132">
        <f t="shared" ref="J209:J216" si="40">ROUND(I209*H209,2)</f>
        <v>6520</v>
      </c>
      <c r="K209" s="129" t="s">
        <v>148</v>
      </c>
      <c r="L209" s="27"/>
      <c r="M209" s="133" t="s">
        <v>1</v>
      </c>
      <c r="N209" s="134" t="s">
        <v>39</v>
      </c>
      <c r="O209" s="135">
        <v>0.53300000000000003</v>
      </c>
      <c r="P209" s="135">
        <f t="shared" ref="P209:P216" si="41">O209*H209</f>
        <v>0.53300000000000003</v>
      </c>
      <c r="Q209" s="135">
        <v>4.7999999999999996E-3</v>
      </c>
      <c r="R209" s="135">
        <f t="shared" ref="R209:R216" si="42">Q209*H209</f>
        <v>4.7999999999999996E-3</v>
      </c>
      <c r="S209" s="135">
        <v>0</v>
      </c>
      <c r="T209" s="136">
        <f t="shared" ref="T209:T216" si="43">S209*H209</f>
        <v>0</v>
      </c>
      <c r="AR209" s="137" t="s">
        <v>206</v>
      </c>
      <c r="AT209" s="137" t="s">
        <v>144</v>
      </c>
      <c r="AU209" s="137" t="s">
        <v>143</v>
      </c>
      <c r="AY209" s="15" t="s">
        <v>141</v>
      </c>
      <c r="BE209" s="138">
        <f t="shared" ref="BE209:BE216" si="44">IF(N209="základní",J209,0)</f>
        <v>0</v>
      </c>
      <c r="BF209" s="138">
        <f t="shared" ref="BF209:BF216" si="45">IF(N209="snížená",J209,0)</f>
        <v>6520</v>
      </c>
      <c r="BG209" s="138">
        <f t="shared" ref="BG209:BG216" si="46">IF(N209="zákl. přenesená",J209,0)</f>
        <v>0</v>
      </c>
      <c r="BH209" s="138">
        <f t="shared" ref="BH209:BH216" si="47">IF(N209="sníž. přenesená",J209,0)</f>
        <v>0</v>
      </c>
      <c r="BI209" s="138">
        <f t="shared" ref="BI209:BI216" si="48">IF(N209="nulová",J209,0)</f>
        <v>0</v>
      </c>
      <c r="BJ209" s="15" t="s">
        <v>143</v>
      </c>
      <c r="BK209" s="138">
        <f t="shared" ref="BK209:BK216" si="49">ROUND(I209*H209,2)</f>
        <v>6520</v>
      </c>
      <c r="BL209" s="15" t="s">
        <v>206</v>
      </c>
      <c r="BM209" s="137" t="s">
        <v>1273</v>
      </c>
    </row>
    <row r="210" spans="2:65" s="1" customFormat="1" ht="33" customHeight="1">
      <c r="B210" s="126"/>
      <c r="C210" s="127" t="s">
        <v>435</v>
      </c>
      <c r="D210" s="127" t="s">
        <v>144</v>
      </c>
      <c r="E210" s="128" t="s">
        <v>1272</v>
      </c>
      <c r="F210" s="129" t="s">
        <v>1271</v>
      </c>
      <c r="G210" s="130" t="s">
        <v>147</v>
      </c>
      <c r="H210" s="131">
        <v>2</v>
      </c>
      <c r="I210" s="132">
        <v>7440</v>
      </c>
      <c r="J210" s="132">
        <f t="shared" si="40"/>
        <v>14880</v>
      </c>
      <c r="K210" s="129" t="s">
        <v>148</v>
      </c>
      <c r="L210" s="27"/>
      <c r="M210" s="133" t="s">
        <v>1</v>
      </c>
      <c r="N210" s="134" t="s">
        <v>39</v>
      </c>
      <c r="O210" s="135">
        <v>0.54</v>
      </c>
      <c r="P210" s="135">
        <f t="shared" si="41"/>
        <v>1.08</v>
      </c>
      <c r="Q210" s="135">
        <v>4.8999999999999998E-3</v>
      </c>
      <c r="R210" s="135">
        <f t="shared" si="42"/>
        <v>9.7999999999999997E-3</v>
      </c>
      <c r="S210" s="135">
        <v>0</v>
      </c>
      <c r="T210" s="136">
        <f t="shared" si="43"/>
        <v>0</v>
      </c>
      <c r="AR210" s="137" t="s">
        <v>206</v>
      </c>
      <c r="AT210" s="137" t="s">
        <v>144</v>
      </c>
      <c r="AU210" s="137" t="s">
        <v>143</v>
      </c>
      <c r="AY210" s="15" t="s">
        <v>141</v>
      </c>
      <c r="BE210" s="138">
        <f t="shared" si="44"/>
        <v>0</v>
      </c>
      <c r="BF210" s="138">
        <f t="shared" si="45"/>
        <v>14880</v>
      </c>
      <c r="BG210" s="138">
        <f t="shared" si="46"/>
        <v>0</v>
      </c>
      <c r="BH210" s="138">
        <f t="shared" si="47"/>
        <v>0</v>
      </c>
      <c r="BI210" s="138">
        <f t="shared" si="48"/>
        <v>0</v>
      </c>
      <c r="BJ210" s="15" t="s">
        <v>143</v>
      </c>
      <c r="BK210" s="138">
        <f t="shared" si="49"/>
        <v>14880</v>
      </c>
      <c r="BL210" s="15" t="s">
        <v>206</v>
      </c>
      <c r="BM210" s="137" t="s">
        <v>1270</v>
      </c>
    </row>
    <row r="211" spans="2:65" s="1" customFormat="1" ht="33" customHeight="1">
      <c r="B211" s="126"/>
      <c r="C211" s="127" t="s">
        <v>439</v>
      </c>
      <c r="D211" s="127" t="s">
        <v>144</v>
      </c>
      <c r="E211" s="128" t="s">
        <v>1269</v>
      </c>
      <c r="F211" s="129" t="s">
        <v>1268</v>
      </c>
      <c r="G211" s="130" t="s">
        <v>147</v>
      </c>
      <c r="H211" s="131">
        <v>2</v>
      </c>
      <c r="I211" s="132">
        <v>8570</v>
      </c>
      <c r="J211" s="132">
        <f t="shared" si="40"/>
        <v>17140</v>
      </c>
      <c r="K211" s="129" t="s">
        <v>148</v>
      </c>
      <c r="L211" s="27"/>
      <c r="M211" s="133" t="s">
        <v>1</v>
      </c>
      <c r="N211" s="134" t="s">
        <v>39</v>
      </c>
      <c r="O211" s="135">
        <v>0.55100000000000005</v>
      </c>
      <c r="P211" s="135">
        <f t="shared" si="41"/>
        <v>1.1020000000000001</v>
      </c>
      <c r="Q211" s="135">
        <v>5.4799999999999996E-3</v>
      </c>
      <c r="R211" s="135">
        <f t="shared" si="42"/>
        <v>1.0959999999999999E-2</v>
      </c>
      <c r="S211" s="135">
        <v>0</v>
      </c>
      <c r="T211" s="136">
        <f t="shared" si="43"/>
        <v>0</v>
      </c>
      <c r="AR211" s="137" t="s">
        <v>206</v>
      </c>
      <c r="AT211" s="137" t="s">
        <v>144</v>
      </c>
      <c r="AU211" s="137" t="s">
        <v>143</v>
      </c>
      <c r="AY211" s="15" t="s">
        <v>141</v>
      </c>
      <c r="BE211" s="138">
        <f t="shared" si="44"/>
        <v>0</v>
      </c>
      <c r="BF211" s="138">
        <f t="shared" si="45"/>
        <v>17140</v>
      </c>
      <c r="BG211" s="138">
        <f t="shared" si="46"/>
        <v>0</v>
      </c>
      <c r="BH211" s="138">
        <f t="shared" si="47"/>
        <v>0</v>
      </c>
      <c r="BI211" s="138">
        <f t="shared" si="48"/>
        <v>0</v>
      </c>
      <c r="BJ211" s="15" t="s">
        <v>143</v>
      </c>
      <c r="BK211" s="138">
        <f t="shared" si="49"/>
        <v>17140</v>
      </c>
      <c r="BL211" s="15" t="s">
        <v>206</v>
      </c>
      <c r="BM211" s="137" t="s">
        <v>1267</v>
      </c>
    </row>
    <row r="212" spans="2:65" s="1" customFormat="1" ht="33" customHeight="1">
      <c r="B212" s="126"/>
      <c r="C212" s="127" t="s">
        <v>443</v>
      </c>
      <c r="D212" s="127" t="s">
        <v>144</v>
      </c>
      <c r="E212" s="128" t="s">
        <v>1266</v>
      </c>
      <c r="F212" s="129" t="s">
        <v>1265</v>
      </c>
      <c r="G212" s="130" t="s">
        <v>147</v>
      </c>
      <c r="H212" s="131">
        <v>4</v>
      </c>
      <c r="I212" s="132">
        <v>9670</v>
      </c>
      <c r="J212" s="132">
        <f t="shared" si="40"/>
        <v>38680</v>
      </c>
      <c r="K212" s="129" t="s">
        <v>148</v>
      </c>
      <c r="L212" s="27"/>
      <c r="M212" s="133" t="s">
        <v>1</v>
      </c>
      <c r="N212" s="134" t="s">
        <v>39</v>
      </c>
      <c r="O212" s="135">
        <v>0.56100000000000005</v>
      </c>
      <c r="P212" s="135">
        <f t="shared" si="41"/>
        <v>2.2440000000000002</v>
      </c>
      <c r="Q212" s="135">
        <v>6.1000000000000004E-3</v>
      </c>
      <c r="R212" s="135">
        <f t="shared" si="42"/>
        <v>2.4400000000000002E-2</v>
      </c>
      <c r="S212" s="135">
        <v>0</v>
      </c>
      <c r="T212" s="136">
        <f t="shared" si="43"/>
        <v>0</v>
      </c>
      <c r="AR212" s="137" t="s">
        <v>206</v>
      </c>
      <c r="AT212" s="137" t="s">
        <v>144</v>
      </c>
      <c r="AU212" s="137" t="s">
        <v>143</v>
      </c>
      <c r="AY212" s="15" t="s">
        <v>141</v>
      </c>
      <c r="BE212" s="138">
        <f t="shared" si="44"/>
        <v>0</v>
      </c>
      <c r="BF212" s="138">
        <f t="shared" si="45"/>
        <v>38680</v>
      </c>
      <c r="BG212" s="138">
        <f t="shared" si="46"/>
        <v>0</v>
      </c>
      <c r="BH212" s="138">
        <f t="shared" si="47"/>
        <v>0</v>
      </c>
      <c r="BI212" s="138">
        <f t="shared" si="48"/>
        <v>0</v>
      </c>
      <c r="BJ212" s="15" t="s">
        <v>143</v>
      </c>
      <c r="BK212" s="138">
        <f t="shared" si="49"/>
        <v>38680</v>
      </c>
      <c r="BL212" s="15" t="s">
        <v>206</v>
      </c>
      <c r="BM212" s="137" t="s">
        <v>1264</v>
      </c>
    </row>
    <row r="213" spans="2:65" s="1" customFormat="1" ht="37.9" customHeight="1">
      <c r="B213" s="126"/>
      <c r="C213" s="127" t="s">
        <v>447</v>
      </c>
      <c r="D213" s="127" t="s">
        <v>144</v>
      </c>
      <c r="E213" s="128" t="s">
        <v>1263</v>
      </c>
      <c r="F213" s="129" t="s">
        <v>1262</v>
      </c>
      <c r="G213" s="130" t="s">
        <v>147</v>
      </c>
      <c r="H213" s="131">
        <v>9</v>
      </c>
      <c r="I213" s="132">
        <v>3730</v>
      </c>
      <c r="J213" s="132">
        <f t="shared" si="40"/>
        <v>33570</v>
      </c>
      <c r="K213" s="129" t="s">
        <v>148</v>
      </c>
      <c r="L213" s="27"/>
      <c r="M213" s="133" t="s">
        <v>1</v>
      </c>
      <c r="N213" s="134" t="s">
        <v>39</v>
      </c>
      <c r="O213" s="135">
        <v>0.59399999999999997</v>
      </c>
      <c r="P213" s="135">
        <f t="shared" si="41"/>
        <v>5.3460000000000001</v>
      </c>
      <c r="Q213" s="135">
        <v>1.32E-2</v>
      </c>
      <c r="R213" s="135">
        <f t="shared" si="42"/>
        <v>0.1188</v>
      </c>
      <c r="S213" s="135">
        <v>0</v>
      </c>
      <c r="T213" s="136">
        <f t="shared" si="43"/>
        <v>0</v>
      </c>
      <c r="AR213" s="137" t="s">
        <v>206</v>
      </c>
      <c r="AT213" s="137" t="s">
        <v>144</v>
      </c>
      <c r="AU213" s="137" t="s">
        <v>143</v>
      </c>
      <c r="AY213" s="15" t="s">
        <v>141</v>
      </c>
      <c r="BE213" s="138">
        <f t="shared" si="44"/>
        <v>0</v>
      </c>
      <c r="BF213" s="138">
        <f t="shared" si="45"/>
        <v>33570</v>
      </c>
      <c r="BG213" s="138">
        <f t="shared" si="46"/>
        <v>0</v>
      </c>
      <c r="BH213" s="138">
        <f t="shared" si="47"/>
        <v>0</v>
      </c>
      <c r="BI213" s="138">
        <f t="shared" si="48"/>
        <v>0</v>
      </c>
      <c r="BJ213" s="15" t="s">
        <v>143</v>
      </c>
      <c r="BK213" s="138">
        <f t="shared" si="49"/>
        <v>33570</v>
      </c>
      <c r="BL213" s="15" t="s">
        <v>206</v>
      </c>
      <c r="BM213" s="137" t="s">
        <v>1261</v>
      </c>
    </row>
    <row r="214" spans="2:65" s="1" customFormat="1" ht="33" customHeight="1">
      <c r="B214" s="126"/>
      <c r="C214" s="127" t="s">
        <v>452</v>
      </c>
      <c r="D214" s="127" t="s">
        <v>144</v>
      </c>
      <c r="E214" s="128" t="s">
        <v>1260</v>
      </c>
      <c r="F214" s="129" t="s">
        <v>1259</v>
      </c>
      <c r="G214" s="130" t="s">
        <v>147</v>
      </c>
      <c r="H214" s="131">
        <v>130</v>
      </c>
      <c r="I214" s="132">
        <v>130</v>
      </c>
      <c r="J214" s="132">
        <f t="shared" si="40"/>
        <v>16900</v>
      </c>
      <c r="K214" s="129" t="s">
        <v>148</v>
      </c>
      <c r="L214" s="27"/>
      <c r="M214" s="133" t="s">
        <v>1</v>
      </c>
      <c r="N214" s="134" t="s">
        <v>39</v>
      </c>
      <c r="O214" s="135">
        <v>6.5000000000000002E-2</v>
      </c>
      <c r="P214" s="135">
        <f t="shared" si="41"/>
        <v>8.4500000000000011</v>
      </c>
      <c r="Q214" s="135">
        <v>6.9999999999999994E-5</v>
      </c>
      <c r="R214" s="135">
        <f t="shared" si="42"/>
        <v>9.0999999999999987E-3</v>
      </c>
      <c r="S214" s="135">
        <v>0</v>
      </c>
      <c r="T214" s="136">
        <f t="shared" si="43"/>
        <v>0</v>
      </c>
      <c r="AR214" s="137" t="s">
        <v>206</v>
      </c>
      <c r="AT214" s="137" t="s">
        <v>144</v>
      </c>
      <c r="AU214" s="137" t="s">
        <v>143</v>
      </c>
      <c r="AY214" s="15" t="s">
        <v>141</v>
      </c>
      <c r="BE214" s="138">
        <f t="shared" si="44"/>
        <v>0</v>
      </c>
      <c r="BF214" s="138">
        <f t="shared" si="45"/>
        <v>16900</v>
      </c>
      <c r="BG214" s="138">
        <f t="shared" si="46"/>
        <v>0</v>
      </c>
      <c r="BH214" s="138">
        <f t="shared" si="47"/>
        <v>0</v>
      </c>
      <c r="BI214" s="138">
        <f t="shared" si="48"/>
        <v>0</v>
      </c>
      <c r="BJ214" s="15" t="s">
        <v>143</v>
      </c>
      <c r="BK214" s="138">
        <f t="shared" si="49"/>
        <v>16900</v>
      </c>
      <c r="BL214" s="15" t="s">
        <v>206</v>
      </c>
      <c r="BM214" s="137" t="s">
        <v>1258</v>
      </c>
    </row>
    <row r="215" spans="2:65" s="1" customFormat="1" ht="33" customHeight="1">
      <c r="B215" s="126"/>
      <c r="C215" s="127" t="s">
        <v>457</v>
      </c>
      <c r="D215" s="127" t="s">
        <v>144</v>
      </c>
      <c r="E215" s="128" t="s">
        <v>1257</v>
      </c>
      <c r="F215" s="129" t="s">
        <v>1256</v>
      </c>
      <c r="G215" s="130" t="s">
        <v>147</v>
      </c>
      <c r="H215" s="131">
        <v>14</v>
      </c>
      <c r="I215" s="132">
        <v>142</v>
      </c>
      <c r="J215" s="132">
        <f t="shared" si="40"/>
        <v>1988</v>
      </c>
      <c r="K215" s="129" t="s">
        <v>148</v>
      </c>
      <c r="L215" s="27"/>
      <c r="M215" s="133" t="s">
        <v>1</v>
      </c>
      <c r="N215" s="134" t="s">
        <v>39</v>
      </c>
      <c r="O215" s="135">
        <v>6.5000000000000002E-2</v>
      </c>
      <c r="P215" s="135">
        <f t="shared" si="41"/>
        <v>0.91</v>
      </c>
      <c r="Q215" s="135">
        <v>6.9999999999999994E-5</v>
      </c>
      <c r="R215" s="135">
        <f t="shared" si="42"/>
        <v>9.7999999999999997E-4</v>
      </c>
      <c r="S215" s="135">
        <v>0</v>
      </c>
      <c r="T215" s="136">
        <f t="shared" si="43"/>
        <v>0</v>
      </c>
      <c r="AR215" s="137" t="s">
        <v>206</v>
      </c>
      <c r="AT215" s="137" t="s">
        <v>144</v>
      </c>
      <c r="AU215" s="137" t="s">
        <v>143</v>
      </c>
      <c r="AY215" s="15" t="s">
        <v>141</v>
      </c>
      <c r="BE215" s="138">
        <f t="shared" si="44"/>
        <v>0</v>
      </c>
      <c r="BF215" s="138">
        <f t="shared" si="45"/>
        <v>1988</v>
      </c>
      <c r="BG215" s="138">
        <f t="shared" si="46"/>
        <v>0</v>
      </c>
      <c r="BH215" s="138">
        <f t="shared" si="47"/>
        <v>0</v>
      </c>
      <c r="BI215" s="138">
        <f t="shared" si="48"/>
        <v>0</v>
      </c>
      <c r="BJ215" s="15" t="s">
        <v>143</v>
      </c>
      <c r="BK215" s="138">
        <f t="shared" si="49"/>
        <v>1988</v>
      </c>
      <c r="BL215" s="15" t="s">
        <v>206</v>
      </c>
      <c r="BM215" s="137" t="s">
        <v>1255</v>
      </c>
    </row>
    <row r="216" spans="2:65" s="1" customFormat="1" ht="44.25" customHeight="1">
      <c r="B216" s="126"/>
      <c r="C216" s="127" t="s">
        <v>461</v>
      </c>
      <c r="D216" s="127" t="s">
        <v>144</v>
      </c>
      <c r="E216" s="128" t="s">
        <v>1254</v>
      </c>
      <c r="F216" s="129" t="s">
        <v>1253</v>
      </c>
      <c r="G216" s="130" t="s">
        <v>179</v>
      </c>
      <c r="H216" s="131">
        <v>3.2970000000000002</v>
      </c>
      <c r="I216" s="132">
        <v>1240</v>
      </c>
      <c r="J216" s="132">
        <f t="shared" si="40"/>
        <v>4088.28</v>
      </c>
      <c r="K216" s="129" t="s">
        <v>148</v>
      </c>
      <c r="L216" s="27"/>
      <c r="M216" s="133" t="s">
        <v>1</v>
      </c>
      <c r="N216" s="134" t="s">
        <v>39</v>
      </c>
      <c r="O216" s="135">
        <v>2.96</v>
      </c>
      <c r="P216" s="135">
        <f t="shared" si="41"/>
        <v>9.7591200000000011</v>
      </c>
      <c r="Q216" s="135">
        <v>0</v>
      </c>
      <c r="R216" s="135">
        <f t="shared" si="42"/>
        <v>0</v>
      </c>
      <c r="S216" s="135">
        <v>0</v>
      </c>
      <c r="T216" s="136">
        <f t="shared" si="43"/>
        <v>0</v>
      </c>
      <c r="AR216" s="137" t="s">
        <v>206</v>
      </c>
      <c r="AT216" s="137" t="s">
        <v>144</v>
      </c>
      <c r="AU216" s="137" t="s">
        <v>143</v>
      </c>
      <c r="AY216" s="15" t="s">
        <v>141</v>
      </c>
      <c r="BE216" s="138">
        <f t="shared" si="44"/>
        <v>0</v>
      </c>
      <c r="BF216" s="138">
        <f t="shared" si="45"/>
        <v>4088.28</v>
      </c>
      <c r="BG216" s="138">
        <f t="shared" si="46"/>
        <v>0</v>
      </c>
      <c r="BH216" s="138">
        <f t="shared" si="47"/>
        <v>0</v>
      </c>
      <c r="BI216" s="138">
        <f t="shared" si="48"/>
        <v>0</v>
      </c>
      <c r="BJ216" s="15" t="s">
        <v>143</v>
      </c>
      <c r="BK216" s="138">
        <f t="shared" si="49"/>
        <v>4088.28</v>
      </c>
      <c r="BL216" s="15" t="s">
        <v>206</v>
      </c>
      <c r="BM216" s="137" t="s">
        <v>1252</v>
      </c>
    </row>
    <row r="217" spans="2:65" s="11" customFormat="1" ht="25.9" customHeight="1">
      <c r="B217" s="115"/>
      <c r="D217" s="116" t="s">
        <v>72</v>
      </c>
      <c r="E217" s="117" t="s">
        <v>1251</v>
      </c>
      <c r="F217" s="117" t="s">
        <v>1250</v>
      </c>
      <c r="J217" s="118">
        <f>BK217</f>
        <v>16020</v>
      </c>
      <c r="L217" s="115"/>
      <c r="M217" s="119"/>
      <c r="P217" s="120">
        <f>P218</f>
        <v>30</v>
      </c>
      <c r="R217" s="120">
        <f>R218</f>
        <v>0</v>
      </c>
      <c r="T217" s="121">
        <f>T218</f>
        <v>0</v>
      </c>
      <c r="AR217" s="116" t="s">
        <v>149</v>
      </c>
      <c r="AT217" s="122" t="s">
        <v>72</v>
      </c>
      <c r="AU217" s="122" t="s">
        <v>73</v>
      </c>
      <c r="AY217" s="116" t="s">
        <v>141</v>
      </c>
      <c r="BK217" s="123">
        <f>BK218</f>
        <v>16020</v>
      </c>
    </row>
    <row r="218" spans="2:65" s="1" customFormat="1" ht="24.2" customHeight="1">
      <c r="B218" s="126"/>
      <c r="C218" s="127" t="s">
        <v>465</v>
      </c>
      <c r="D218" s="127" t="s">
        <v>144</v>
      </c>
      <c r="E218" s="128" t="s">
        <v>1249</v>
      </c>
      <c r="F218" s="129" t="s">
        <v>1248</v>
      </c>
      <c r="G218" s="130" t="s">
        <v>1247</v>
      </c>
      <c r="H218" s="131">
        <v>30</v>
      </c>
      <c r="I218" s="132">
        <v>534</v>
      </c>
      <c r="J218" s="132">
        <f>ROUND(I218*H218,2)</f>
        <v>16020</v>
      </c>
      <c r="K218" s="129" t="s">
        <v>148</v>
      </c>
      <c r="L218" s="27"/>
      <c r="M218" s="155" t="s">
        <v>1</v>
      </c>
      <c r="N218" s="156" t="s">
        <v>39</v>
      </c>
      <c r="O218" s="157">
        <v>1</v>
      </c>
      <c r="P218" s="157">
        <f>O218*H218</f>
        <v>30</v>
      </c>
      <c r="Q218" s="157">
        <v>0</v>
      </c>
      <c r="R218" s="157">
        <f>Q218*H218</f>
        <v>0</v>
      </c>
      <c r="S218" s="157">
        <v>0</v>
      </c>
      <c r="T218" s="158">
        <f>S218*H218</f>
        <v>0</v>
      </c>
      <c r="AR218" s="137" t="s">
        <v>1246</v>
      </c>
      <c r="AT218" s="137" t="s">
        <v>144</v>
      </c>
      <c r="AU218" s="137" t="s">
        <v>81</v>
      </c>
      <c r="AY218" s="15" t="s">
        <v>141</v>
      </c>
      <c r="BE218" s="138">
        <f>IF(N218="základní",J218,0)</f>
        <v>0</v>
      </c>
      <c r="BF218" s="138">
        <f>IF(N218="snížená",J218,0)</f>
        <v>16020</v>
      </c>
      <c r="BG218" s="138">
        <f>IF(N218="zákl. přenesená",J218,0)</f>
        <v>0</v>
      </c>
      <c r="BH218" s="138">
        <f>IF(N218="sníž. přenesená",J218,0)</f>
        <v>0</v>
      </c>
      <c r="BI218" s="138">
        <f>IF(N218="nulová",J218,0)</f>
        <v>0</v>
      </c>
      <c r="BJ218" s="15" t="s">
        <v>143</v>
      </c>
      <c r="BK218" s="138">
        <f>ROUND(I218*H218,2)</f>
        <v>16020</v>
      </c>
      <c r="BL218" s="15" t="s">
        <v>1246</v>
      </c>
      <c r="BM218" s="137" t="s">
        <v>1245</v>
      </c>
    </row>
    <row r="219" spans="2:65" s="1" customFormat="1" ht="6.95" customHeight="1">
      <c r="B219" s="39"/>
      <c r="C219" s="40"/>
      <c r="D219" s="40"/>
      <c r="E219" s="40"/>
      <c r="F219" s="40"/>
      <c r="G219" s="40"/>
      <c r="H219" s="40"/>
      <c r="I219" s="40"/>
      <c r="J219" s="40"/>
      <c r="K219" s="40"/>
      <c r="L219" s="27"/>
    </row>
  </sheetData>
  <autoFilter ref="C122:K218" xr:uid="{00000000-0009-0000-0000-000002000000}"/>
  <mergeCells count="9">
    <mergeCell ref="E87:H87"/>
    <mergeCell ref="E113:H113"/>
    <mergeCell ref="E115:H115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40C629-464B-4039-A6CA-866E294ABFC5}">
  <sheetPr>
    <pageSetUpPr fitToPage="1"/>
  </sheetPr>
  <dimension ref="B2:BM181"/>
  <sheetViews>
    <sheetView showGridLines="0" workbookViewId="0"/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</cols>
  <sheetData>
    <row r="2" spans="2:46" ht="36.950000000000003" customHeight="1">
      <c r="L2" s="269" t="s">
        <v>5</v>
      </c>
      <c r="M2" s="250"/>
      <c r="N2" s="250"/>
      <c r="O2" s="250"/>
      <c r="P2" s="250"/>
      <c r="Q2" s="250"/>
      <c r="R2" s="250"/>
      <c r="S2" s="250"/>
      <c r="T2" s="250"/>
      <c r="U2" s="250"/>
      <c r="V2" s="250"/>
      <c r="AT2" s="15" t="s">
        <v>1732</v>
      </c>
    </row>
    <row r="3" spans="2:46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81</v>
      </c>
    </row>
    <row r="4" spans="2:46" ht="24.95" customHeight="1">
      <c r="B4" s="18"/>
      <c r="D4" s="19" t="s">
        <v>89</v>
      </c>
      <c r="L4" s="18"/>
      <c r="M4" s="83" t="s">
        <v>10</v>
      </c>
      <c r="AT4" s="15" t="s">
        <v>3</v>
      </c>
    </row>
    <row r="5" spans="2:46" ht="6.95" customHeight="1">
      <c r="B5" s="18"/>
      <c r="L5" s="18"/>
    </row>
    <row r="6" spans="2:46" ht="12" customHeight="1">
      <c r="B6" s="18"/>
      <c r="D6" s="24" t="s">
        <v>14</v>
      </c>
      <c r="L6" s="18"/>
    </row>
    <row r="7" spans="2:46" ht="26.25" customHeight="1">
      <c r="B7" s="18"/>
      <c r="E7" s="283" t="s">
        <v>2465</v>
      </c>
      <c r="F7" s="284"/>
      <c r="G7" s="284"/>
      <c r="H7" s="284"/>
      <c r="L7" s="18"/>
    </row>
    <row r="8" spans="2:46" s="1" customFormat="1" ht="12" customHeight="1">
      <c r="B8" s="27"/>
      <c r="D8" s="24" t="s">
        <v>90</v>
      </c>
      <c r="L8" s="27"/>
    </row>
    <row r="9" spans="2:46" s="1" customFormat="1" ht="16.5" customHeight="1">
      <c r="B9" s="27"/>
      <c r="E9" s="270" t="s">
        <v>1731</v>
      </c>
      <c r="F9" s="285"/>
      <c r="G9" s="285"/>
      <c r="H9" s="285"/>
      <c r="L9" s="27"/>
    </row>
    <row r="10" spans="2:46" s="1" customFormat="1">
      <c r="B10" s="27"/>
      <c r="L10" s="27"/>
    </row>
    <row r="11" spans="2:46" s="1" customFormat="1" ht="12" customHeight="1">
      <c r="B11" s="27"/>
      <c r="D11" s="24" t="s">
        <v>16</v>
      </c>
      <c r="F11" s="22" t="s">
        <v>1</v>
      </c>
      <c r="I11" s="24" t="s">
        <v>17</v>
      </c>
      <c r="J11" s="22" t="s">
        <v>1</v>
      </c>
      <c r="L11" s="27"/>
    </row>
    <row r="12" spans="2:46" s="1" customFormat="1" ht="12" customHeight="1">
      <c r="B12" s="27"/>
      <c r="D12" s="24" t="s">
        <v>18</v>
      </c>
      <c r="F12" s="22" t="s">
        <v>1514</v>
      </c>
      <c r="I12" s="24" t="s">
        <v>20</v>
      </c>
      <c r="J12" s="47" t="s">
        <v>2466</v>
      </c>
      <c r="L12" s="27"/>
    </row>
    <row r="13" spans="2:46" s="1" customFormat="1" ht="10.9" customHeight="1">
      <c r="B13" s="27"/>
      <c r="L13" s="27"/>
    </row>
    <row r="14" spans="2:46" s="1" customFormat="1" ht="12" customHeight="1">
      <c r="B14" s="27"/>
      <c r="D14" s="24" t="s">
        <v>21</v>
      </c>
      <c r="I14" s="24" t="s">
        <v>22</v>
      </c>
      <c r="J14" s="22" t="s">
        <v>1</v>
      </c>
      <c r="L14" s="27"/>
    </row>
    <row r="15" spans="2:46" s="1" customFormat="1" ht="18" customHeight="1">
      <c r="B15" s="27"/>
      <c r="E15" s="22" t="s">
        <v>2467</v>
      </c>
      <c r="I15" s="24" t="s">
        <v>24</v>
      </c>
      <c r="J15" s="22" t="s">
        <v>1</v>
      </c>
      <c r="L15" s="27"/>
    </row>
    <row r="16" spans="2:46" s="1" customFormat="1" ht="6.95" customHeight="1">
      <c r="B16" s="27"/>
      <c r="L16" s="27"/>
    </row>
    <row r="17" spans="2:12" s="1" customFormat="1" ht="12" customHeight="1">
      <c r="B17" s="27"/>
      <c r="D17" s="24" t="s">
        <v>25</v>
      </c>
      <c r="I17" s="24" t="s">
        <v>22</v>
      </c>
      <c r="J17" s="22" t="s">
        <v>1</v>
      </c>
      <c r="L17" s="27"/>
    </row>
    <row r="18" spans="2:12" s="1" customFormat="1" ht="18" customHeight="1">
      <c r="B18" s="27"/>
      <c r="E18" s="249" t="s">
        <v>2467</v>
      </c>
      <c r="F18" s="249"/>
      <c r="G18" s="249"/>
      <c r="H18" s="249"/>
      <c r="I18" s="24" t="s">
        <v>24</v>
      </c>
      <c r="J18" s="22" t="s">
        <v>1</v>
      </c>
      <c r="L18" s="27"/>
    </row>
    <row r="19" spans="2:12" s="1" customFormat="1" ht="6.95" customHeight="1">
      <c r="B19" s="27"/>
      <c r="L19" s="27"/>
    </row>
    <row r="20" spans="2:12" s="1" customFormat="1" ht="12" customHeight="1">
      <c r="B20" s="27"/>
      <c r="D20" s="24" t="s">
        <v>27</v>
      </c>
      <c r="I20" s="24" t="s">
        <v>22</v>
      </c>
      <c r="J20" s="22" t="s">
        <v>1</v>
      </c>
      <c r="L20" s="27"/>
    </row>
    <row r="21" spans="2:12" s="1" customFormat="1" ht="18" customHeight="1">
      <c r="B21" s="27"/>
      <c r="E21" s="22" t="s">
        <v>2467</v>
      </c>
      <c r="I21" s="24" t="s">
        <v>24</v>
      </c>
      <c r="J21" s="22" t="s">
        <v>1</v>
      </c>
      <c r="L21" s="27"/>
    </row>
    <row r="22" spans="2:12" s="1" customFormat="1" ht="6.95" customHeight="1">
      <c r="B22" s="27"/>
      <c r="L22" s="27"/>
    </row>
    <row r="23" spans="2:12" s="1" customFormat="1" ht="12" customHeight="1">
      <c r="B23" s="27"/>
      <c r="D23" s="24" t="s">
        <v>30</v>
      </c>
      <c r="I23" s="24" t="s">
        <v>22</v>
      </c>
      <c r="J23" s="22" t="s">
        <v>1</v>
      </c>
      <c r="L23" s="27"/>
    </row>
    <row r="24" spans="2:12" s="1" customFormat="1" ht="18" customHeight="1">
      <c r="B24" s="27"/>
      <c r="E24" s="22" t="s">
        <v>2467</v>
      </c>
      <c r="I24" s="24" t="s">
        <v>24</v>
      </c>
      <c r="J24" s="22" t="s">
        <v>1</v>
      </c>
      <c r="L24" s="27"/>
    </row>
    <row r="25" spans="2:12" s="1" customFormat="1" ht="6.95" customHeight="1">
      <c r="B25" s="27"/>
      <c r="L25" s="27"/>
    </row>
    <row r="26" spans="2:12" s="1" customFormat="1" ht="12" customHeight="1">
      <c r="B26" s="27"/>
      <c r="D26" s="24" t="s">
        <v>32</v>
      </c>
      <c r="L26" s="27"/>
    </row>
    <row r="27" spans="2:12" s="7" customFormat="1" ht="16.5" customHeight="1">
      <c r="B27" s="84"/>
      <c r="E27" s="252" t="s">
        <v>1</v>
      </c>
      <c r="F27" s="252"/>
      <c r="G27" s="252"/>
      <c r="H27" s="252"/>
      <c r="L27" s="84"/>
    </row>
    <row r="28" spans="2:12" s="1" customFormat="1" ht="6.95" customHeight="1">
      <c r="B28" s="27"/>
      <c r="L28" s="27"/>
    </row>
    <row r="29" spans="2:12" s="1" customFormat="1" ht="6.95" customHeight="1">
      <c r="B29" s="27"/>
      <c r="D29" s="48"/>
      <c r="E29" s="48"/>
      <c r="F29" s="48"/>
      <c r="G29" s="48"/>
      <c r="H29" s="48"/>
      <c r="I29" s="48"/>
      <c r="J29" s="48"/>
      <c r="K29" s="48"/>
      <c r="L29" s="27"/>
    </row>
    <row r="30" spans="2:12" s="1" customFormat="1" ht="25.35" customHeight="1">
      <c r="B30" s="27"/>
      <c r="D30" s="85" t="s">
        <v>33</v>
      </c>
      <c r="J30" s="61">
        <f>ROUND(J119, 2)</f>
        <v>1077710.1299999999</v>
      </c>
      <c r="L30" s="27"/>
    </row>
    <row r="31" spans="2:12" s="1" customFormat="1" ht="6.95" customHeight="1">
      <c r="B31" s="27"/>
      <c r="D31" s="48"/>
      <c r="E31" s="48"/>
      <c r="F31" s="48"/>
      <c r="G31" s="48"/>
      <c r="H31" s="48"/>
      <c r="I31" s="48"/>
      <c r="J31" s="48"/>
      <c r="K31" s="48"/>
      <c r="L31" s="27"/>
    </row>
    <row r="32" spans="2:12" s="1" customFormat="1" ht="14.45" customHeight="1">
      <c r="B32" s="27"/>
      <c r="F32" s="30" t="s">
        <v>35</v>
      </c>
      <c r="I32" s="30" t="s">
        <v>34</v>
      </c>
      <c r="J32" s="30" t="s">
        <v>36</v>
      </c>
      <c r="L32" s="27"/>
    </row>
    <row r="33" spans="2:12" s="1" customFormat="1" ht="14.45" customHeight="1">
      <c r="B33" s="27"/>
      <c r="D33" s="50" t="s">
        <v>37</v>
      </c>
      <c r="E33" s="24" t="s">
        <v>38</v>
      </c>
      <c r="F33" s="86">
        <f>ROUND((SUM(BE119:BE180)),  2)</f>
        <v>0</v>
      </c>
      <c r="I33" s="87">
        <v>0.21</v>
      </c>
      <c r="J33" s="86">
        <f>ROUND(((SUM(BE119:BE180))*I33),  2)</f>
        <v>0</v>
      </c>
      <c r="L33" s="27"/>
    </row>
    <row r="34" spans="2:12" s="1" customFormat="1" ht="14.45" customHeight="1">
      <c r="B34" s="27"/>
      <c r="E34" s="24" t="s">
        <v>39</v>
      </c>
      <c r="F34" s="86">
        <f>ROUND((SUM(BF119:BF180)),  2)</f>
        <v>1077710.1299999999</v>
      </c>
      <c r="I34" s="87">
        <v>0.15</v>
      </c>
      <c r="J34" s="86">
        <f>ROUND(((SUM(BF119:BF180))*I34),  2)</f>
        <v>161656.51999999999</v>
      </c>
      <c r="L34" s="27"/>
    </row>
    <row r="35" spans="2:12" s="1" customFormat="1" ht="14.45" hidden="1" customHeight="1">
      <c r="B35" s="27"/>
      <c r="E35" s="24" t="s">
        <v>40</v>
      </c>
      <c r="F35" s="86">
        <f>ROUND((SUM(BG119:BG180)),  2)</f>
        <v>0</v>
      </c>
      <c r="I35" s="87">
        <v>0.21</v>
      </c>
      <c r="J35" s="86">
        <f>0</f>
        <v>0</v>
      </c>
      <c r="L35" s="27"/>
    </row>
    <row r="36" spans="2:12" s="1" customFormat="1" ht="14.45" hidden="1" customHeight="1">
      <c r="B36" s="27"/>
      <c r="E36" s="24" t="s">
        <v>41</v>
      </c>
      <c r="F36" s="86">
        <f>ROUND((SUM(BH119:BH180)),  2)</f>
        <v>0</v>
      </c>
      <c r="I36" s="87">
        <v>0.15</v>
      </c>
      <c r="J36" s="86">
        <f>0</f>
        <v>0</v>
      </c>
      <c r="L36" s="27"/>
    </row>
    <row r="37" spans="2:12" s="1" customFormat="1" ht="14.45" hidden="1" customHeight="1">
      <c r="B37" s="27"/>
      <c r="E37" s="24" t="s">
        <v>42</v>
      </c>
      <c r="F37" s="86">
        <f>ROUND((SUM(BI119:BI180)),  2)</f>
        <v>0</v>
      </c>
      <c r="I37" s="87">
        <v>0</v>
      </c>
      <c r="J37" s="86">
        <f>0</f>
        <v>0</v>
      </c>
      <c r="L37" s="27"/>
    </row>
    <row r="38" spans="2:12" s="1" customFormat="1" ht="6.95" customHeight="1">
      <c r="B38" s="27"/>
      <c r="L38" s="27"/>
    </row>
    <row r="39" spans="2:12" s="1" customFormat="1" ht="25.35" customHeight="1">
      <c r="B39" s="27"/>
      <c r="C39" s="88"/>
      <c r="D39" s="89" t="s">
        <v>43</v>
      </c>
      <c r="E39" s="52"/>
      <c r="F39" s="52"/>
      <c r="G39" s="90" t="s">
        <v>44</v>
      </c>
      <c r="H39" s="91" t="s">
        <v>45</v>
      </c>
      <c r="I39" s="52"/>
      <c r="J39" s="92">
        <f>SUM(J30:J37)</f>
        <v>1239366.6499999999</v>
      </c>
      <c r="K39" s="93"/>
      <c r="L39" s="27"/>
    </row>
    <row r="40" spans="2:12" s="1" customFormat="1" ht="14.45" customHeight="1">
      <c r="B40" s="27"/>
      <c r="L40" s="27"/>
    </row>
    <row r="41" spans="2:12" ht="14.45" customHeight="1">
      <c r="B41" s="18"/>
      <c r="L41" s="18"/>
    </row>
    <row r="42" spans="2:12" ht="14.45" customHeight="1">
      <c r="B42" s="18"/>
      <c r="L42" s="18"/>
    </row>
    <row r="43" spans="2:12" ht="14.45" customHeight="1">
      <c r="B43" s="18"/>
      <c r="L43" s="18"/>
    </row>
    <row r="44" spans="2:12" ht="14.45" customHeight="1">
      <c r="B44" s="18"/>
      <c r="L44" s="18"/>
    </row>
    <row r="45" spans="2:12" ht="14.45" customHeight="1">
      <c r="B45" s="18"/>
      <c r="L45" s="18"/>
    </row>
    <row r="46" spans="2:12" ht="14.45" customHeight="1">
      <c r="B46" s="18"/>
      <c r="L46" s="18"/>
    </row>
    <row r="47" spans="2:12" ht="14.45" customHeight="1">
      <c r="B47" s="18"/>
      <c r="L47" s="18"/>
    </row>
    <row r="48" spans="2:12" ht="14.45" customHeight="1">
      <c r="B48" s="18"/>
      <c r="L48" s="18"/>
    </row>
    <row r="49" spans="2:12" ht="14.45" customHeight="1">
      <c r="B49" s="18"/>
      <c r="L49" s="18"/>
    </row>
    <row r="50" spans="2:12" s="1" customFormat="1" ht="14.45" customHeight="1">
      <c r="B50" s="27"/>
      <c r="D50" s="36" t="s">
        <v>46</v>
      </c>
      <c r="E50" s="37"/>
      <c r="F50" s="37"/>
      <c r="G50" s="36" t="s">
        <v>47</v>
      </c>
      <c r="H50" s="37"/>
      <c r="I50" s="37"/>
      <c r="J50" s="37"/>
      <c r="K50" s="37"/>
      <c r="L50" s="27"/>
    </row>
    <row r="51" spans="2:12">
      <c r="B51" s="18"/>
      <c r="L51" s="18"/>
    </row>
    <row r="52" spans="2:12">
      <c r="B52" s="18"/>
      <c r="L52" s="18"/>
    </row>
    <row r="53" spans="2:12">
      <c r="B53" s="18"/>
      <c r="L53" s="18"/>
    </row>
    <row r="54" spans="2:12">
      <c r="B54" s="18"/>
      <c r="L54" s="18"/>
    </row>
    <row r="55" spans="2:12">
      <c r="B55" s="18"/>
      <c r="L55" s="18"/>
    </row>
    <row r="56" spans="2:12">
      <c r="B56" s="18"/>
      <c r="L56" s="18"/>
    </row>
    <row r="57" spans="2:12">
      <c r="B57" s="18"/>
      <c r="L57" s="18"/>
    </row>
    <row r="58" spans="2:12">
      <c r="B58" s="18"/>
      <c r="L58" s="18"/>
    </row>
    <row r="59" spans="2:12">
      <c r="B59" s="18"/>
      <c r="L59" s="18"/>
    </row>
    <row r="60" spans="2:12">
      <c r="B60" s="18"/>
      <c r="L60" s="18"/>
    </row>
    <row r="61" spans="2:12" s="1" customFormat="1" ht="12.75">
      <c r="B61" s="27"/>
      <c r="D61" s="38" t="s">
        <v>48</v>
      </c>
      <c r="E61" s="29"/>
      <c r="F61" s="94" t="s">
        <v>49</v>
      </c>
      <c r="G61" s="38" t="s">
        <v>48</v>
      </c>
      <c r="H61" s="29"/>
      <c r="I61" s="29"/>
      <c r="J61" s="95" t="s">
        <v>49</v>
      </c>
      <c r="K61" s="29"/>
      <c r="L61" s="27"/>
    </row>
    <row r="62" spans="2:12">
      <c r="B62" s="18"/>
      <c r="L62" s="18"/>
    </row>
    <row r="63" spans="2:12">
      <c r="B63" s="18"/>
      <c r="L63" s="18"/>
    </row>
    <row r="64" spans="2:12">
      <c r="B64" s="18"/>
      <c r="L64" s="18"/>
    </row>
    <row r="65" spans="2:12" s="1" customFormat="1" ht="12.75">
      <c r="B65" s="27"/>
      <c r="D65" s="36" t="s">
        <v>50</v>
      </c>
      <c r="E65" s="37"/>
      <c r="F65" s="37"/>
      <c r="G65" s="36" t="s">
        <v>51</v>
      </c>
      <c r="H65" s="37"/>
      <c r="I65" s="37"/>
      <c r="J65" s="37"/>
      <c r="K65" s="37"/>
      <c r="L65" s="27"/>
    </row>
    <row r="66" spans="2:12">
      <c r="B66" s="18"/>
      <c r="L66" s="18"/>
    </row>
    <row r="67" spans="2:12">
      <c r="B67" s="18"/>
      <c r="L67" s="18"/>
    </row>
    <row r="68" spans="2:12">
      <c r="B68" s="18"/>
      <c r="L68" s="18"/>
    </row>
    <row r="69" spans="2:12">
      <c r="B69" s="18"/>
      <c r="L69" s="18"/>
    </row>
    <row r="70" spans="2:12">
      <c r="B70" s="18"/>
      <c r="L70" s="18"/>
    </row>
    <row r="71" spans="2:12">
      <c r="B71" s="18"/>
      <c r="L71" s="18"/>
    </row>
    <row r="72" spans="2:12">
      <c r="B72" s="18"/>
      <c r="L72" s="18"/>
    </row>
    <row r="73" spans="2:12">
      <c r="B73" s="18"/>
      <c r="L73" s="18"/>
    </row>
    <row r="74" spans="2:12">
      <c r="B74" s="18"/>
      <c r="L74" s="18"/>
    </row>
    <row r="75" spans="2:12">
      <c r="B75" s="18"/>
      <c r="L75" s="18"/>
    </row>
    <row r="76" spans="2:12" s="1" customFormat="1" ht="12.75">
      <c r="B76" s="27"/>
      <c r="D76" s="38" t="s">
        <v>48</v>
      </c>
      <c r="E76" s="29"/>
      <c r="F76" s="94" t="s">
        <v>49</v>
      </c>
      <c r="G76" s="38" t="s">
        <v>48</v>
      </c>
      <c r="H76" s="29"/>
      <c r="I76" s="29"/>
      <c r="J76" s="95" t="s">
        <v>49</v>
      </c>
      <c r="K76" s="29"/>
      <c r="L76" s="27"/>
    </row>
    <row r="77" spans="2:12" s="1" customFormat="1" ht="14.45" customHeight="1"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27"/>
    </row>
    <row r="81" spans="2:47" s="1" customFormat="1" ht="6.95" customHeight="1"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27"/>
    </row>
    <row r="82" spans="2:47" s="1" customFormat="1" ht="24.95" customHeight="1">
      <c r="B82" s="27"/>
      <c r="C82" s="19" t="s">
        <v>92</v>
      </c>
      <c r="L82" s="27"/>
    </row>
    <row r="83" spans="2:47" s="1" customFormat="1" ht="6.95" customHeight="1">
      <c r="B83" s="27"/>
      <c r="L83" s="27"/>
    </row>
    <row r="84" spans="2:47" s="1" customFormat="1" ht="12" customHeight="1">
      <c r="B84" s="27"/>
      <c r="C84" s="24" t="s">
        <v>14</v>
      </c>
      <c r="L84" s="27"/>
    </row>
    <row r="85" spans="2:47" s="1" customFormat="1" ht="26.25" customHeight="1">
      <c r="B85" s="27"/>
      <c r="E85" s="283" t="str">
        <f>E7</f>
        <v>Rozvoj komunitních sociálních služeb DOZP v lokalitě Jičín - aktualizace PD - změna PD 11/2022</v>
      </c>
      <c r="F85" s="284"/>
      <c r="G85" s="284"/>
      <c r="H85" s="284"/>
      <c r="L85" s="27"/>
    </row>
    <row r="86" spans="2:47" s="1" customFormat="1" ht="12" customHeight="1">
      <c r="B86" s="27"/>
      <c r="C86" s="24" t="s">
        <v>90</v>
      </c>
      <c r="L86" s="27"/>
    </row>
    <row r="87" spans="2:47" s="1" customFormat="1" ht="16.5" customHeight="1">
      <c r="B87" s="27"/>
      <c r="E87" s="270" t="str">
        <f>E9</f>
        <v>Objekt A - c - Vzduchotechnika</v>
      </c>
      <c r="F87" s="285"/>
      <c r="G87" s="285"/>
      <c r="H87" s="285"/>
      <c r="L87" s="27"/>
    </row>
    <row r="88" spans="2:47" s="1" customFormat="1" ht="6.95" customHeight="1">
      <c r="B88" s="27"/>
      <c r="L88" s="27"/>
    </row>
    <row r="89" spans="2:47" s="1" customFormat="1" ht="12" customHeight="1">
      <c r="B89" s="27"/>
      <c r="C89" s="24" t="s">
        <v>18</v>
      </c>
      <c r="F89" s="22" t="str">
        <f>F12</f>
        <v>Jičín</v>
      </c>
      <c r="I89" s="24" t="s">
        <v>20</v>
      </c>
      <c r="J89" s="47" t="str">
        <f>IF(J12="","",J12)</f>
        <v>15. 3. 2022</v>
      </c>
      <c r="L89" s="27"/>
    </row>
    <row r="90" spans="2:47" s="1" customFormat="1" ht="6.95" customHeight="1">
      <c r="B90" s="27"/>
      <c r="L90" s="27"/>
    </row>
    <row r="91" spans="2:47" s="1" customFormat="1" ht="15.2" customHeight="1">
      <c r="B91" s="27"/>
      <c r="C91" s="24" t="s">
        <v>21</v>
      </c>
      <c r="F91" s="22" t="str">
        <f>E15</f>
        <v xml:space="preserve"> </v>
      </c>
      <c r="I91" s="24" t="s">
        <v>27</v>
      </c>
      <c r="J91" s="25" t="str">
        <f>E21</f>
        <v xml:space="preserve"> </v>
      </c>
      <c r="L91" s="27"/>
    </row>
    <row r="92" spans="2:47" s="1" customFormat="1" ht="15.2" customHeight="1">
      <c r="B92" s="27"/>
      <c r="C92" s="24" t="s">
        <v>25</v>
      </c>
      <c r="F92" s="22" t="str">
        <f>IF(E18="","",E18)</f>
        <v xml:space="preserve"> </v>
      </c>
      <c r="I92" s="24" t="s">
        <v>30</v>
      </c>
      <c r="J92" s="25" t="str">
        <f>E24</f>
        <v xml:space="preserve"> </v>
      </c>
      <c r="L92" s="27"/>
    </row>
    <row r="93" spans="2:47" s="1" customFormat="1" ht="10.35" customHeight="1">
      <c r="B93" s="27"/>
      <c r="L93" s="27"/>
    </row>
    <row r="94" spans="2:47" s="1" customFormat="1" ht="29.25" customHeight="1">
      <c r="B94" s="27"/>
      <c r="C94" s="96" t="s">
        <v>93</v>
      </c>
      <c r="D94" s="88"/>
      <c r="E94" s="88"/>
      <c r="F94" s="88"/>
      <c r="G94" s="88"/>
      <c r="H94" s="88"/>
      <c r="I94" s="88"/>
      <c r="J94" s="97" t="s">
        <v>94</v>
      </c>
      <c r="K94" s="88"/>
      <c r="L94" s="27"/>
    </row>
    <row r="95" spans="2:47" s="1" customFormat="1" ht="10.35" customHeight="1">
      <c r="B95" s="27"/>
      <c r="L95" s="27"/>
    </row>
    <row r="96" spans="2:47" s="1" customFormat="1" ht="22.9" customHeight="1">
      <c r="B96" s="27"/>
      <c r="C96" s="98" t="s">
        <v>95</v>
      </c>
      <c r="J96" s="61">
        <f>J119</f>
        <v>1077710.1300000001</v>
      </c>
      <c r="L96" s="27"/>
      <c r="AU96" s="15" t="s">
        <v>96</v>
      </c>
    </row>
    <row r="97" spans="2:12" s="8" customFormat="1" ht="24.95" customHeight="1">
      <c r="B97" s="99"/>
      <c r="D97" s="100" t="s">
        <v>105</v>
      </c>
      <c r="E97" s="101"/>
      <c r="F97" s="101"/>
      <c r="G97" s="101"/>
      <c r="H97" s="101"/>
      <c r="I97" s="101"/>
      <c r="J97" s="102">
        <f>J120</f>
        <v>1055260.1300000001</v>
      </c>
      <c r="L97" s="99"/>
    </row>
    <row r="98" spans="2:12" s="9" customFormat="1" ht="19.899999999999999" customHeight="1">
      <c r="B98" s="103"/>
      <c r="D98" s="104" t="s">
        <v>112</v>
      </c>
      <c r="E98" s="105"/>
      <c r="F98" s="105"/>
      <c r="G98" s="105"/>
      <c r="H98" s="105"/>
      <c r="I98" s="105"/>
      <c r="J98" s="106">
        <f>J121</f>
        <v>1055260.1300000001</v>
      </c>
      <c r="L98" s="103"/>
    </row>
    <row r="99" spans="2:12" s="8" customFormat="1" ht="24.95" customHeight="1">
      <c r="B99" s="99"/>
      <c r="D99" s="100" t="s">
        <v>1508</v>
      </c>
      <c r="E99" s="101"/>
      <c r="F99" s="101"/>
      <c r="G99" s="101"/>
      <c r="H99" s="101"/>
      <c r="I99" s="101"/>
      <c r="J99" s="102">
        <f>J179</f>
        <v>22450</v>
      </c>
      <c r="L99" s="99"/>
    </row>
    <row r="100" spans="2:12" s="1" customFormat="1" ht="21.75" customHeight="1">
      <c r="B100" s="27"/>
      <c r="L100" s="27"/>
    </row>
    <row r="101" spans="2:12" s="1" customFormat="1" ht="6.95" customHeight="1">
      <c r="B101" s="39"/>
      <c r="C101" s="40"/>
      <c r="D101" s="40"/>
      <c r="E101" s="40"/>
      <c r="F101" s="40"/>
      <c r="G101" s="40"/>
      <c r="H101" s="40"/>
      <c r="I101" s="40"/>
      <c r="J101" s="40"/>
      <c r="K101" s="40"/>
      <c r="L101" s="27"/>
    </row>
    <row r="105" spans="2:12" s="1" customFormat="1" ht="6.95" customHeight="1">
      <c r="B105" s="41"/>
      <c r="C105" s="42"/>
      <c r="D105" s="42"/>
      <c r="E105" s="42"/>
      <c r="F105" s="42"/>
      <c r="G105" s="42"/>
      <c r="H105" s="42"/>
      <c r="I105" s="42"/>
      <c r="J105" s="42"/>
      <c r="K105" s="42"/>
      <c r="L105" s="27"/>
    </row>
    <row r="106" spans="2:12" s="1" customFormat="1" ht="24.95" customHeight="1">
      <c r="B106" s="27"/>
      <c r="C106" s="19" t="s">
        <v>126</v>
      </c>
      <c r="L106" s="27"/>
    </row>
    <row r="107" spans="2:12" s="1" customFormat="1" ht="6.95" customHeight="1">
      <c r="B107" s="27"/>
      <c r="L107" s="27"/>
    </row>
    <row r="108" spans="2:12" s="1" customFormat="1" ht="12" customHeight="1">
      <c r="B108" s="27"/>
      <c r="C108" s="24" t="s">
        <v>14</v>
      </c>
      <c r="L108" s="27"/>
    </row>
    <row r="109" spans="2:12" s="1" customFormat="1" ht="26.25" customHeight="1">
      <c r="B109" s="27"/>
      <c r="E109" s="283" t="str">
        <f>E7</f>
        <v>Rozvoj komunitních sociálních služeb DOZP v lokalitě Jičín - aktualizace PD - změna PD 11/2022</v>
      </c>
      <c r="F109" s="284"/>
      <c r="G109" s="284"/>
      <c r="H109" s="284"/>
      <c r="L109" s="27"/>
    </row>
    <row r="110" spans="2:12" s="1" customFormat="1" ht="12" customHeight="1">
      <c r="B110" s="27"/>
      <c r="C110" s="24" t="s">
        <v>90</v>
      </c>
      <c r="L110" s="27"/>
    </row>
    <row r="111" spans="2:12" s="1" customFormat="1" ht="16.5" customHeight="1">
      <c r="B111" s="27"/>
      <c r="E111" s="270" t="str">
        <f>E9</f>
        <v>Objekt A - c - Vzduchotechnika</v>
      </c>
      <c r="F111" s="285"/>
      <c r="G111" s="285"/>
      <c r="H111" s="285"/>
      <c r="L111" s="27"/>
    </row>
    <row r="112" spans="2:12" s="1" customFormat="1" ht="6.95" customHeight="1">
      <c r="B112" s="27"/>
      <c r="L112" s="27"/>
    </row>
    <row r="113" spans="2:65" s="1" customFormat="1" ht="12" customHeight="1">
      <c r="B113" s="27"/>
      <c r="C113" s="24" t="s">
        <v>18</v>
      </c>
      <c r="F113" s="22" t="str">
        <f>F12</f>
        <v>Jičín</v>
      </c>
      <c r="I113" s="24" t="s">
        <v>20</v>
      </c>
      <c r="J113" s="47" t="str">
        <f>IF(J12="","",J12)</f>
        <v>15. 3. 2022</v>
      </c>
      <c r="L113" s="27"/>
    </row>
    <row r="114" spans="2:65" s="1" customFormat="1" ht="6.95" customHeight="1">
      <c r="B114" s="27"/>
      <c r="L114" s="27"/>
    </row>
    <row r="115" spans="2:65" s="1" customFormat="1" ht="15.2" customHeight="1">
      <c r="B115" s="27"/>
      <c r="C115" s="24" t="s">
        <v>21</v>
      </c>
      <c r="F115" s="22" t="str">
        <f>E15</f>
        <v xml:space="preserve"> </v>
      </c>
      <c r="I115" s="24" t="s">
        <v>27</v>
      </c>
      <c r="J115" s="25" t="str">
        <f>E21</f>
        <v xml:space="preserve"> </v>
      </c>
      <c r="L115" s="27"/>
    </row>
    <row r="116" spans="2:65" s="1" customFormat="1" ht="15.2" customHeight="1">
      <c r="B116" s="27"/>
      <c r="C116" s="24" t="s">
        <v>25</v>
      </c>
      <c r="F116" s="22" t="str">
        <f>IF(E18="","",E18)</f>
        <v xml:space="preserve"> </v>
      </c>
      <c r="I116" s="24" t="s">
        <v>30</v>
      </c>
      <c r="J116" s="25" t="str">
        <f>E24</f>
        <v xml:space="preserve"> </v>
      </c>
      <c r="L116" s="27"/>
    </row>
    <row r="117" spans="2:65" s="1" customFormat="1" ht="10.35" customHeight="1">
      <c r="B117" s="27"/>
      <c r="L117" s="27"/>
    </row>
    <row r="118" spans="2:65" s="10" customFormat="1" ht="29.25" customHeight="1">
      <c r="B118" s="107"/>
      <c r="C118" s="108" t="s">
        <v>127</v>
      </c>
      <c r="D118" s="109" t="s">
        <v>58</v>
      </c>
      <c r="E118" s="109" t="s">
        <v>54</v>
      </c>
      <c r="F118" s="109" t="s">
        <v>55</v>
      </c>
      <c r="G118" s="109" t="s">
        <v>128</v>
      </c>
      <c r="H118" s="109" t="s">
        <v>129</v>
      </c>
      <c r="I118" s="109" t="s">
        <v>130</v>
      </c>
      <c r="J118" s="109" t="s">
        <v>94</v>
      </c>
      <c r="K118" s="110" t="s">
        <v>131</v>
      </c>
      <c r="L118" s="107"/>
      <c r="M118" s="54" t="s">
        <v>1</v>
      </c>
      <c r="N118" s="55" t="s">
        <v>37</v>
      </c>
      <c r="O118" s="55" t="s">
        <v>132</v>
      </c>
      <c r="P118" s="55" t="s">
        <v>133</v>
      </c>
      <c r="Q118" s="55" t="s">
        <v>134</v>
      </c>
      <c r="R118" s="55" t="s">
        <v>135</v>
      </c>
      <c r="S118" s="55" t="s">
        <v>136</v>
      </c>
      <c r="T118" s="56" t="s">
        <v>137</v>
      </c>
    </row>
    <row r="119" spans="2:65" s="1" customFormat="1" ht="22.9" customHeight="1">
      <c r="B119" s="27"/>
      <c r="C119" s="59" t="s">
        <v>138</v>
      </c>
      <c r="J119" s="111">
        <f>BK119</f>
        <v>1077710.1300000001</v>
      </c>
      <c r="L119" s="27"/>
      <c r="M119" s="57"/>
      <c r="N119" s="48"/>
      <c r="O119" s="48"/>
      <c r="P119" s="112">
        <f>P120+P179</f>
        <v>393.18077000000005</v>
      </c>
      <c r="Q119" s="48"/>
      <c r="R119" s="112">
        <f>R120+R179</f>
        <v>1.0733600000000001</v>
      </c>
      <c r="S119" s="48"/>
      <c r="T119" s="113">
        <f>T120+T179</f>
        <v>0</v>
      </c>
      <c r="AT119" s="15" t="s">
        <v>72</v>
      </c>
      <c r="AU119" s="15" t="s">
        <v>96</v>
      </c>
      <c r="BK119" s="114">
        <f>BK120+BK179</f>
        <v>1077710.1300000001</v>
      </c>
    </row>
    <row r="120" spans="2:65" s="11" customFormat="1" ht="25.9" customHeight="1">
      <c r="B120" s="115"/>
      <c r="D120" s="116" t="s">
        <v>72</v>
      </c>
      <c r="E120" s="117" t="s">
        <v>516</v>
      </c>
      <c r="F120" s="117" t="s">
        <v>517</v>
      </c>
      <c r="J120" s="118">
        <f>BK120</f>
        <v>1055260.1300000001</v>
      </c>
      <c r="L120" s="115"/>
      <c r="M120" s="119"/>
      <c r="P120" s="120">
        <f>P121</f>
        <v>343.18077000000005</v>
      </c>
      <c r="R120" s="120">
        <f>R121</f>
        <v>1.0733600000000001</v>
      </c>
      <c r="T120" s="121">
        <f>T121</f>
        <v>0</v>
      </c>
      <c r="AR120" s="116" t="s">
        <v>143</v>
      </c>
      <c r="AT120" s="122" t="s">
        <v>72</v>
      </c>
      <c r="AU120" s="122" t="s">
        <v>73</v>
      </c>
      <c r="AY120" s="116" t="s">
        <v>141</v>
      </c>
      <c r="BK120" s="123">
        <f>BK121</f>
        <v>1055260.1300000001</v>
      </c>
    </row>
    <row r="121" spans="2:65" s="11" customFormat="1" ht="22.9" customHeight="1">
      <c r="B121" s="115"/>
      <c r="D121" s="116" t="s">
        <v>72</v>
      </c>
      <c r="E121" s="124" t="s">
        <v>751</v>
      </c>
      <c r="F121" s="124" t="s">
        <v>752</v>
      </c>
      <c r="J121" s="125">
        <f>BK121</f>
        <v>1055260.1300000001</v>
      </c>
      <c r="L121" s="115"/>
      <c r="M121" s="119"/>
      <c r="P121" s="120">
        <f>SUM(P122:P178)</f>
        <v>343.18077000000005</v>
      </c>
      <c r="R121" s="120">
        <f>SUM(R122:R178)</f>
        <v>1.0733600000000001</v>
      </c>
      <c r="T121" s="121">
        <f>SUM(T122:T178)</f>
        <v>0</v>
      </c>
      <c r="AR121" s="116" t="s">
        <v>143</v>
      </c>
      <c r="AT121" s="122" t="s">
        <v>72</v>
      </c>
      <c r="AU121" s="122" t="s">
        <v>81</v>
      </c>
      <c r="AY121" s="116" t="s">
        <v>141</v>
      </c>
      <c r="BK121" s="123">
        <f>SUM(BK122:BK178)</f>
        <v>1055260.1300000001</v>
      </c>
    </row>
    <row r="122" spans="2:65" s="1" customFormat="1" ht="33" customHeight="1">
      <c r="B122" s="126"/>
      <c r="C122" s="127" t="s">
        <v>81</v>
      </c>
      <c r="D122" s="127" t="s">
        <v>144</v>
      </c>
      <c r="E122" s="128" t="s">
        <v>1730</v>
      </c>
      <c r="F122" s="129" t="s">
        <v>1729</v>
      </c>
      <c r="G122" s="130" t="s">
        <v>147</v>
      </c>
      <c r="H122" s="131">
        <v>3</v>
      </c>
      <c r="I122" s="132">
        <v>207</v>
      </c>
      <c r="J122" s="132">
        <f t="shared" ref="J122:J148" si="0">ROUND(I122*H122,2)</f>
        <v>621</v>
      </c>
      <c r="K122" s="129" t="s">
        <v>148</v>
      </c>
      <c r="L122" s="27"/>
      <c r="M122" s="133" t="s">
        <v>1</v>
      </c>
      <c r="N122" s="134" t="s">
        <v>39</v>
      </c>
      <c r="O122" s="135">
        <v>0.48299999999999998</v>
      </c>
      <c r="P122" s="135">
        <f t="shared" ref="P122:P148" si="1">O122*H122</f>
        <v>1.4489999999999998</v>
      </c>
      <c r="Q122" s="135">
        <v>0</v>
      </c>
      <c r="R122" s="135">
        <f t="shared" ref="R122:R148" si="2">Q122*H122</f>
        <v>0</v>
      </c>
      <c r="S122" s="135">
        <v>0</v>
      </c>
      <c r="T122" s="136">
        <f t="shared" ref="T122:T148" si="3">S122*H122</f>
        <v>0</v>
      </c>
      <c r="AR122" s="137" t="s">
        <v>206</v>
      </c>
      <c r="AT122" s="137" t="s">
        <v>144</v>
      </c>
      <c r="AU122" s="137" t="s">
        <v>143</v>
      </c>
      <c r="AY122" s="15" t="s">
        <v>141</v>
      </c>
      <c r="BE122" s="138">
        <f t="shared" ref="BE122:BE148" si="4">IF(N122="základní",J122,0)</f>
        <v>0</v>
      </c>
      <c r="BF122" s="138">
        <f t="shared" ref="BF122:BF148" si="5">IF(N122="snížená",J122,0)</f>
        <v>621</v>
      </c>
      <c r="BG122" s="138">
        <f t="shared" ref="BG122:BG148" si="6">IF(N122="zákl. přenesená",J122,0)</f>
        <v>0</v>
      </c>
      <c r="BH122" s="138">
        <f t="shared" ref="BH122:BH148" si="7">IF(N122="sníž. přenesená",J122,0)</f>
        <v>0</v>
      </c>
      <c r="BI122" s="138">
        <f t="shared" ref="BI122:BI148" si="8">IF(N122="nulová",J122,0)</f>
        <v>0</v>
      </c>
      <c r="BJ122" s="15" t="s">
        <v>143</v>
      </c>
      <c r="BK122" s="138">
        <f t="shared" ref="BK122:BK148" si="9">ROUND(I122*H122,2)</f>
        <v>621</v>
      </c>
      <c r="BL122" s="15" t="s">
        <v>206</v>
      </c>
      <c r="BM122" s="137" t="s">
        <v>1728</v>
      </c>
    </row>
    <row r="123" spans="2:65" s="1" customFormat="1" ht="24.2" customHeight="1">
      <c r="B123" s="126"/>
      <c r="C123" s="139" t="s">
        <v>143</v>
      </c>
      <c r="D123" s="139" t="s">
        <v>207</v>
      </c>
      <c r="E123" s="140" t="s">
        <v>1727</v>
      </c>
      <c r="F123" s="141" t="s">
        <v>1726</v>
      </c>
      <c r="G123" s="142" t="s">
        <v>147</v>
      </c>
      <c r="H123" s="143">
        <v>3</v>
      </c>
      <c r="I123" s="144">
        <v>1900</v>
      </c>
      <c r="J123" s="144">
        <f t="shared" si="0"/>
        <v>5700</v>
      </c>
      <c r="K123" s="141" t="s">
        <v>148</v>
      </c>
      <c r="L123" s="145"/>
      <c r="M123" s="146" t="s">
        <v>1</v>
      </c>
      <c r="N123" s="147" t="s">
        <v>39</v>
      </c>
      <c r="O123" s="135">
        <v>0</v>
      </c>
      <c r="P123" s="135">
        <f t="shared" si="1"/>
        <v>0</v>
      </c>
      <c r="Q123" s="135">
        <v>8.9999999999999998E-4</v>
      </c>
      <c r="R123" s="135">
        <f t="shared" si="2"/>
        <v>2.7000000000000001E-3</v>
      </c>
      <c r="S123" s="135">
        <v>0</v>
      </c>
      <c r="T123" s="136">
        <f t="shared" si="3"/>
        <v>0</v>
      </c>
      <c r="AR123" s="137" t="s">
        <v>274</v>
      </c>
      <c r="AT123" s="137" t="s">
        <v>207</v>
      </c>
      <c r="AU123" s="137" t="s">
        <v>143</v>
      </c>
      <c r="AY123" s="15" t="s">
        <v>141</v>
      </c>
      <c r="BE123" s="138">
        <f t="shared" si="4"/>
        <v>0</v>
      </c>
      <c r="BF123" s="138">
        <f t="shared" si="5"/>
        <v>5700</v>
      </c>
      <c r="BG123" s="138">
        <f t="shared" si="6"/>
        <v>0</v>
      </c>
      <c r="BH123" s="138">
        <f t="shared" si="7"/>
        <v>0</v>
      </c>
      <c r="BI123" s="138">
        <f t="shared" si="8"/>
        <v>0</v>
      </c>
      <c r="BJ123" s="15" t="s">
        <v>143</v>
      </c>
      <c r="BK123" s="138">
        <f t="shared" si="9"/>
        <v>5700</v>
      </c>
      <c r="BL123" s="15" t="s">
        <v>206</v>
      </c>
      <c r="BM123" s="137" t="s">
        <v>1725</v>
      </c>
    </row>
    <row r="124" spans="2:65" s="1" customFormat="1" ht="24.2" customHeight="1">
      <c r="B124" s="126"/>
      <c r="C124" s="127" t="s">
        <v>151</v>
      </c>
      <c r="D124" s="127" t="s">
        <v>144</v>
      </c>
      <c r="E124" s="128" t="s">
        <v>1724</v>
      </c>
      <c r="F124" s="129" t="s">
        <v>1723</v>
      </c>
      <c r="G124" s="130" t="s">
        <v>147</v>
      </c>
      <c r="H124" s="131">
        <v>3</v>
      </c>
      <c r="I124" s="132">
        <v>266</v>
      </c>
      <c r="J124" s="132">
        <f t="shared" si="0"/>
        <v>798</v>
      </c>
      <c r="K124" s="129" t="s">
        <v>148</v>
      </c>
      <c r="L124" s="27"/>
      <c r="M124" s="133" t="s">
        <v>1</v>
      </c>
      <c r="N124" s="134" t="s">
        <v>39</v>
      </c>
      <c r="O124" s="135">
        <v>0.621</v>
      </c>
      <c r="P124" s="135">
        <f t="shared" si="1"/>
        <v>1.863</v>
      </c>
      <c r="Q124" s="135">
        <v>0</v>
      </c>
      <c r="R124" s="135">
        <f t="shared" si="2"/>
        <v>0</v>
      </c>
      <c r="S124" s="135">
        <v>0</v>
      </c>
      <c r="T124" s="136">
        <f t="shared" si="3"/>
        <v>0</v>
      </c>
      <c r="AR124" s="137" t="s">
        <v>206</v>
      </c>
      <c r="AT124" s="137" t="s">
        <v>144</v>
      </c>
      <c r="AU124" s="137" t="s">
        <v>143</v>
      </c>
      <c r="AY124" s="15" t="s">
        <v>141</v>
      </c>
      <c r="BE124" s="138">
        <f t="shared" si="4"/>
        <v>0</v>
      </c>
      <c r="BF124" s="138">
        <f t="shared" si="5"/>
        <v>798</v>
      </c>
      <c r="BG124" s="138">
        <f t="shared" si="6"/>
        <v>0</v>
      </c>
      <c r="BH124" s="138">
        <f t="shared" si="7"/>
        <v>0</v>
      </c>
      <c r="BI124" s="138">
        <f t="shared" si="8"/>
        <v>0</v>
      </c>
      <c r="BJ124" s="15" t="s">
        <v>143</v>
      </c>
      <c r="BK124" s="138">
        <f t="shared" si="9"/>
        <v>798</v>
      </c>
      <c r="BL124" s="15" t="s">
        <v>206</v>
      </c>
      <c r="BM124" s="137" t="s">
        <v>1722</v>
      </c>
    </row>
    <row r="125" spans="2:65" s="1" customFormat="1" ht="24.2" customHeight="1">
      <c r="B125" s="126"/>
      <c r="C125" s="139" t="s">
        <v>149</v>
      </c>
      <c r="D125" s="139" t="s">
        <v>207</v>
      </c>
      <c r="E125" s="140" t="s">
        <v>1721</v>
      </c>
      <c r="F125" s="141" t="s">
        <v>1720</v>
      </c>
      <c r="G125" s="142" t="s">
        <v>147</v>
      </c>
      <c r="H125" s="143">
        <v>1</v>
      </c>
      <c r="I125" s="144">
        <v>3550</v>
      </c>
      <c r="J125" s="144">
        <f t="shared" si="0"/>
        <v>3550</v>
      </c>
      <c r="K125" s="141" t="s">
        <v>148</v>
      </c>
      <c r="L125" s="145"/>
      <c r="M125" s="146" t="s">
        <v>1</v>
      </c>
      <c r="N125" s="147" t="s">
        <v>39</v>
      </c>
      <c r="O125" s="135">
        <v>0</v>
      </c>
      <c r="P125" s="135">
        <f t="shared" si="1"/>
        <v>0</v>
      </c>
      <c r="Q125" s="135">
        <v>2E-3</v>
      </c>
      <c r="R125" s="135">
        <f t="shared" si="2"/>
        <v>2E-3</v>
      </c>
      <c r="S125" s="135">
        <v>0</v>
      </c>
      <c r="T125" s="136">
        <f t="shared" si="3"/>
        <v>0</v>
      </c>
      <c r="AR125" s="137" t="s">
        <v>274</v>
      </c>
      <c r="AT125" s="137" t="s">
        <v>207</v>
      </c>
      <c r="AU125" s="137" t="s">
        <v>143</v>
      </c>
      <c r="AY125" s="15" t="s">
        <v>141</v>
      </c>
      <c r="BE125" s="138">
        <f t="shared" si="4"/>
        <v>0</v>
      </c>
      <c r="BF125" s="138">
        <f t="shared" si="5"/>
        <v>3550</v>
      </c>
      <c r="BG125" s="138">
        <f t="shared" si="6"/>
        <v>0</v>
      </c>
      <c r="BH125" s="138">
        <f t="shared" si="7"/>
        <v>0</v>
      </c>
      <c r="BI125" s="138">
        <f t="shared" si="8"/>
        <v>0</v>
      </c>
      <c r="BJ125" s="15" t="s">
        <v>143</v>
      </c>
      <c r="BK125" s="138">
        <f t="shared" si="9"/>
        <v>3550</v>
      </c>
      <c r="BL125" s="15" t="s">
        <v>206</v>
      </c>
      <c r="BM125" s="137" t="s">
        <v>1719</v>
      </c>
    </row>
    <row r="126" spans="2:65" s="1" customFormat="1" ht="24.2" customHeight="1">
      <c r="B126" s="126"/>
      <c r="C126" s="139" t="s">
        <v>159</v>
      </c>
      <c r="D126" s="139" t="s">
        <v>207</v>
      </c>
      <c r="E126" s="140" t="s">
        <v>1718</v>
      </c>
      <c r="F126" s="141" t="s">
        <v>1717</v>
      </c>
      <c r="G126" s="142" t="s">
        <v>147</v>
      </c>
      <c r="H126" s="143">
        <v>2</v>
      </c>
      <c r="I126" s="144">
        <v>3890</v>
      </c>
      <c r="J126" s="144">
        <f t="shared" si="0"/>
        <v>7780</v>
      </c>
      <c r="K126" s="141" t="s">
        <v>148</v>
      </c>
      <c r="L126" s="145"/>
      <c r="M126" s="146" t="s">
        <v>1</v>
      </c>
      <c r="N126" s="147" t="s">
        <v>39</v>
      </c>
      <c r="O126" s="135">
        <v>0</v>
      </c>
      <c r="P126" s="135">
        <f t="shared" si="1"/>
        <v>0</v>
      </c>
      <c r="Q126" s="135">
        <v>2E-3</v>
      </c>
      <c r="R126" s="135">
        <f t="shared" si="2"/>
        <v>4.0000000000000001E-3</v>
      </c>
      <c r="S126" s="135">
        <v>0</v>
      </c>
      <c r="T126" s="136">
        <f t="shared" si="3"/>
        <v>0</v>
      </c>
      <c r="AR126" s="137" t="s">
        <v>274</v>
      </c>
      <c r="AT126" s="137" t="s">
        <v>207</v>
      </c>
      <c r="AU126" s="137" t="s">
        <v>143</v>
      </c>
      <c r="AY126" s="15" t="s">
        <v>141</v>
      </c>
      <c r="BE126" s="138">
        <f t="shared" si="4"/>
        <v>0</v>
      </c>
      <c r="BF126" s="138">
        <f t="shared" si="5"/>
        <v>7780</v>
      </c>
      <c r="BG126" s="138">
        <f t="shared" si="6"/>
        <v>0</v>
      </c>
      <c r="BH126" s="138">
        <f t="shared" si="7"/>
        <v>0</v>
      </c>
      <c r="BI126" s="138">
        <f t="shared" si="8"/>
        <v>0</v>
      </c>
      <c r="BJ126" s="15" t="s">
        <v>143</v>
      </c>
      <c r="BK126" s="138">
        <f t="shared" si="9"/>
        <v>7780</v>
      </c>
      <c r="BL126" s="15" t="s">
        <v>206</v>
      </c>
      <c r="BM126" s="137" t="s">
        <v>1716</v>
      </c>
    </row>
    <row r="127" spans="2:65" s="1" customFormat="1" ht="24.2" customHeight="1">
      <c r="B127" s="126"/>
      <c r="C127" s="127" t="s">
        <v>164</v>
      </c>
      <c r="D127" s="127" t="s">
        <v>144</v>
      </c>
      <c r="E127" s="128" t="s">
        <v>1715</v>
      </c>
      <c r="F127" s="129" t="s">
        <v>1714</v>
      </c>
      <c r="G127" s="130" t="s">
        <v>147</v>
      </c>
      <c r="H127" s="131">
        <v>20</v>
      </c>
      <c r="I127" s="132">
        <v>142</v>
      </c>
      <c r="J127" s="132">
        <f t="shared" si="0"/>
        <v>2840</v>
      </c>
      <c r="K127" s="129" t="s">
        <v>148</v>
      </c>
      <c r="L127" s="27"/>
      <c r="M127" s="133" t="s">
        <v>1</v>
      </c>
      <c r="N127" s="134" t="s">
        <v>39</v>
      </c>
      <c r="O127" s="135">
        <v>0.33800000000000002</v>
      </c>
      <c r="P127" s="135">
        <f t="shared" si="1"/>
        <v>6.7600000000000007</v>
      </c>
      <c r="Q127" s="135">
        <v>0</v>
      </c>
      <c r="R127" s="135">
        <f t="shared" si="2"/>
        <v>0</v>
      </c>
      <c r="S127" s="135">
        <v>0</v>
      </c>
      <c r="T127" s="136">
        <f t="shared" si="3"/>
        <v>0</v>
      </c>
      <c r="AR127" s="137" t="s">
        <v>206</v>
      </c>
      <c r="AT127" s="137" t="s">
        <v>144</v>
      </c>
      <c r="AU127" s="137" t="s">
        <v>143</v>
      </c>
      <c r="AY127" s="15" t="s">
        <v>141</v>
      </c>
      <c r="BE127" s="138">
        <f t="shared" si="4"/>
        <v>0</v>
      </c>
      <c r="BF127" s="138">
        <f t="shared" si="5"/>
        <v>2840</v>
      </c>
      <c r="BG127" s="138">
        <f t="shared" si="6"/>
        <v>0</v>
      </c>
      <c r="BH127" s="138">
        <f t="shared" si="7"/>
        <v>0</v>
      </c>
      <c r="BI127" s="138">
        <f t="shared" si="8"/>
        <v>0</v>
      </c>
      <c r="BJ127" s="15" t="s">
        <v>143</v>
      </c>
      <c r="BK127" s="138">
        <f t="shared" si="9"/>
        <v>2840</v>
      </c>
      <c r="BL127" s="15" t="s">
        <v>206</v>
      </c>
      <c r="BM127" s="137" t="s">
        <v>1713</v>
      </c>
    </row>
    <row r="128" spans="2:65" s="1" customFormat="1" ht="24.2" customHeight="1">
      <c r="B128" s="126"/>
      <c r="C128" s="139" t="s">
        <v>168</v>
      </c>
      <c r="D128" s="139" t="s">
        <v>207</v>
      </c>
      <c r="E128" s="140" t="s">
        <v>1712</v>
      </c>
      <c r="F128" s="141" t="s">
        <v>1711</v>
      </c>
      <c r="G128" s="142" t="s">
        <v>147</v>
      </c>
      <c r="H128" s="143">
        <v>20</v>
      </c>
      <c r="I128" s="144">
        <v>195</v>
      </c>
      <c r="J128" s="144">
        <f t="shared" si="0"/>
        <v>3900</v>
      </c>
      <c r="K128" s="141" t="s">
        <v>148</v>
      </c>
      <c r="L128" s="145"/>
      <c r="M128" s="146" t="s">
        <v>1</v>
      </c>
      <c r="N128" s="147" t="s">
        <v>39</v>
      </c>
      <c r="O128" s="135">
        <v>0</v>
      </c>
      <c r="P128" s="135">
        <f t="shared" si="1"/>
        <v>0</v>
      </c>
      <c r="Q128" s="135">
        <v>2.0000000000000001E-4</v>
      </c>
      <c r="R128" s="135">
        <f t="shared" si="2"/>
        <v>4.0000000000000001E-3</v>
      </c>
      <c r="S128" s="135">
        <v>0</v>
      </c>
      <c r="T128" s="136">
        <f t="shared" si="3"/>
        <v>0</v>
      </c>
      <c r="AR128" s="137" t="s">
        <v>274</v>
      </c>
      <c r="AT128" s="137" t="s">
        <v>207</v>
      </c>
      <c r="AU128" s="137" t="s">
        <v>143</v>
      </c>
      <c r="AY128" s="15" t="s">
        <v>141</v>
      </c>
      <c r="BE128" s="138">
        <f t="shared" si="4"/>
        <v>0</v>
      </c>
      <c r="BF128" s="138">
        <f t="shared" si="5"/>
        <v>3900</v>
      </c>
      <c r="BG128" s="138">
        <f t="shared" si="6"/>
        <v>0</v>
      </c>
      <c r="BH128" s="138">
        <f t="shared" si="7"/>
        <v>0</v>
      </c>
      <c r="BI128" s="138">
        <f t="shared" si="8"/>
        <v>0</v>
      </c>
      <c r="BJ128" s="15" t="s">
        <v>143</v>
      </c>
      <c r="BK128" s="138">
        <f t="shared" si="9"/>
        <v>3900</v>
      </c>
      <c r="BL128" s="15" t="s">
        <v>206</v>
      </c>
      <c r="BM128" s="137" t="s">
        <v>1710</v>
      </c>
    </row>
    <row r="129" spans="2:65" s="1" customFormat="1" ht="33" customHeight="1">
      <c r="B129" s="126"/>
      <c r="C129" s="127" t="s">
        <v>172</v>
      </c>
      <c r="D129" s="127" t="s">
        <v>144</v>
      </c>
      <c r="E129" s="128" t="s">
        <v>1709</v>
      </c>
      <c r="F129" s="129" t="s">
        <v>1708</v>
      </c>
      <c r="G129" s="130" t="s">
        <v>147</v>
      </c>
      <c r="H129" s="131">
        <v>12</v>
      </c>
      <c r="I129" s="132">
        <v>178</v>
      </c>
      <c r="J129" s="132">
        <f t="shared" si="0"/>
        <v>2136</v>
      </c>
      <c r="K129" s="129" t="s">
        <v>148</v>
      </c>
      <c r="L129" s="27"/>
      <c r="M129" s="133" t="s">
        <v>1</v>
      </c>
      <c r="N129" s="134" t="s">
        <v>39</v>
      </c>
      <c r="O129" s="135">
        <v>0.42299999999999999</v>
      </c>
      <c r="P129" s="135">
        <f t="shared" si="1"/>
        <v>5.0759999999999996</v>
      </c>
      <c r="Q129" s="135">
        <v>0</v>
      </c>
      <c r="R129" s="135">
        <f t="shared" si="2"/>
        <v>0</v>
      </c>
      <c r="S129" s="135">
        <v>0</v>
      </c>
      <c r="T129" s="136">
        <f t="shared" si="3"/>
        <v>0</v>
      </c>
      <c r="AR129" s="137" t="s">
        <v>206</v>
      </c>
      <c r="AT129" s="137" t="s">
        <v>144</v>
      </c>
      <c r="AU129" s="137" t="s">
        <v>143</v>
      </c>
      <c r="AY129" s="15" t="s">
        <v>141</v>
      </c>
      <c r="BE129" s="138">
        <f t="shared" si="4"/>
        <v>0</v>
      </c>
      <c r="BF129" s="138">
        <f t="shared" si="5"/>
        <v>2136</v>
      </c>
      <c r="BG129" s="138">
        <f t="shared" si="6"/>
        <v>0</v>
      </c>
      <c r="BH129" s="138">
        <f t="shared" si="7"/>
        <v>0</v>
      </c>
      <c r="BI129" s="138">
        <f t="shared" si="8"/>
        <v>0</v>
      </c>
      <c r="BJ129" s="15" t="s">
        <v>143</v>
      </c>
      <c r="BK129" s="138">
        <f t="shared" si="9"/>
        <v>2136</v>
      </c>
      <c r="BL129" s="15" t="s">
        <v>206</v>
      </c>
      <c r="BM129" s="137" t="s">
        <v>1707</v>
      </c>
    </row>
    <row r="130" spans="2:65" s="1" customFormat="1" ht="24.2" customHeight="1">
      <c r="B130" s="126"/>
      <c r="C130" s="139" t="s">
        <v>176</v>
      </c>
      <c r="D130" s="139" t="s">
        <v>207</v>
      </c>
      <c r="E130" s="140" t="s">
        <v>1706</v>
      </c>
      <c r="F130" s="141" t="s">
        <v>1705</v>
      </c>
      <c r="G130" s="142" t="s">
        <v>147</v>
      </c>
      <c r="H130" s="143">
        <v>12</v>
      </c>
      <c r="I130" s="144">
        <v>216</v>
      </c>
      <c r="J130" s="144">
        <f t="shared" si="0"/>
        <v>2592</v>
      </c>
      <c r="K130" s="141" t="s">
        <v>148</v>
      </c>
      <c r="L130" s="145"/>
      <c r="M130" s="146" t="s">
        <v>1</v>
      </c>
      <c r="N130" s="147" t="s">
        <v>39</v>
      </c>
      <c r="O130" s="135">
        <v>0</v>
      </c>
      <c r="P130" s="135">
        <f t="shared" si="1"/>
        <v>0</v>
      </c>
      <c r="Q130" s="135">
        <v>2.0000000000000001E-4</v>
      </c>
      <c r="R130" s="135">
        <f t="shared" si="2"/>
        <v>2.4000000000000002E-3</v>
      </c>
      <c r="S130" s="135">
        <v>0</v>
      </c>
      <c r="T130" s="136">
        <f t="shared" si="3"/>
        <v>0</v>
      </c>
      <c r="AR130" s="137" t="s">
        <v>274</v>
      </c>
      <c r="AT130" s="137" t="s">
        <v>207</v>
      </c>
      <c r="AU130" s="137" t="s">
        <v>143</v>
      </c>
      <c r="AY130" s="15" t="s">
        <v>141</v>
      </c>
      <c r="BE130" s="138">
        <f t="shared" si="4"/>
        <v>0</v>
      </c>
      <c r="BF130" s="138">
        <f t="shared" si="5"/>
        <v>2592</v>
      </c>
      <c r="BG130" s="138">
        <f t="shared" si="6"/>
        <v>0</v>
      </c>
      <c r="BH130" s="138">
        <f t="shared" si="7"/>
        <v>0</v>
      </c>
      <c r="BI130" s="138">
        <f t="shared" si="8"/>
        <v>0</v>
      </c>
      <c r="BJ130" s="15" t="s">
        <v>143</v>
      </c>
      <c r="BK130" s="138">
        <f t="shared" si="9"/>
        <v>2592</v>
      </c>
      <c r="BL130" s="15" t="s">
        <v>206</v>
      </c>
      <c r="BM130" s="137" t="s">
        <v>1704</v>
      </c>
    </row>
    <row r="131" spans="2:65" s="1" customFormat="1" ht="24.2" customHeight="1">
      <c r="B131" s="126"/>
      <c r="C131" s="127" t="s">
        <v>181</v>
      </c>
      <c r="D131" s="127" t="s">
        <v>144</v>
      </c>
      <c r="E131" s="128" t="s">
        <v>1703</v>
      </c>
      <c r="F131" s="129" t="s">
        <v>1702</v>
      </c>
      <c r="G131" s="130" t="s">
        <v>147</v>
      </c>
      <c r="H131" s="131">
        <v>4</v>
      </c>
      <c r="I131" s="132">
        <v>391</v>
      </c>
      <c r="J131" s="132">
        <f t="shared" si="0"/>
        <v>1564</v>
      </c>
      <c r="K131" s="129" t="s">
        <v>148</v>
      </c>
      <c r="L131" s="27"/>
      <c r="M131" s="133" t="s">
        <v>1</v>
      </c>
      <c r="N131" s="134" t="s">
        <v>39</v>
      </c>
      <c r="O131" s="135">
        <v>0.93</v>
      </c>
      <c r="P131" s="135">
        <f t="shared" si="1"/>
        <v>3.72</v>
      </c>
      <c r="Q131" s="135">
        <v>0</v>
      </c>
      <c r="R131" s="135">
        <f t="shared" si="2"/>
        <v>0</v>
      </c>
      <c r="S131" s="135">
        <v>0</v>
      </c>
      <c r="T131" s="136">
        <f t="shared" si="3"/>
        <v>0</v>
      </c>
      <c r="AR131" s="137" t="s">
        <v>206</v>
      </c>
      <c r="AT131" s="137" t="s">
        <v>144</v>
      </c>
      <c r="AU131" s="137" t="s">
        <v>143</v>
      </c>
      <c r="AY131" s="15" t="s">
        <v>141</v>
      </c>
      <c r="BE131" s="138">
        <f t="shared" si="4"/>
        <v>0</v>
      </c>
      <c r="BF131" s="138">
        <f t="shared" si="5"/>
        <v>1564</v>
      </c>
      <c r="BG131" s="138">
        <f t="shared" si="6"/>
        <v>0</v>
      </c>
      <c r="BH131" s="138">
        <f t="shared" si="7"/>
        <v>0</v>
      </c>
      <c r="BI131" s="138">
        <f t="shared" si="8"/>
        <v>0</v>
      </c>
      <c r="BJ131" s="15" t="s">
        <v>143</v>
      </c>
      <c r="BK131" s="138">
        <f t="shared" si="9"/>
        <v>1564</v>
      </c>
      <c r="BL131" s="15" t="s">
        <v>206</v>
      </c>
      <c r="BM131" s="137" t="s">
        <v>1701</v>
      </c>
    </row>
    <row r="132" spans="2:65" s="1" customFormat="1" ht="16.5" customHeight="1">
      <c r="B132" s="126"/>
      <c r="C132" s="139" t="s">
        <v>185</v>
      </c>
      <c r="D132" s="139" t="s">
        <v>207</v>
      </c>
      <c r="E132" s="140" t="s">
        <v>1700</v>
      </c>
      <c r="F132" s="141" t="s">
        <v>1699</v>
      </c>
      <c r="G132" s="142" t="s">
        <v>147</v>
      </c>
      <c r="H132" s="143">
        <v>4</v>
      </c>
      <c r="I132" s="144">
        <v>2660</v>
      </c>
      <c r="J132" s="144">
        <f t="shared" si="0"/>
        <v>10640</v>
      </c>
      <c r="K132" s="141" t="s">
        <v>148</v>
      </c>
      <c r="L132" s="145"/>
      <c r="M132" s="146" t="s">
        <v>1</v>
      </c>
      <c r="N132" s="147" t="s">
        <v>39</v>
      </c>
      <c r="O132" s="135">
        <v>0</v>
      </c>
      <c r="P132" s="135">
        <f t="shared" si="1"/>
        <v>0</v>
      </c>
      <c r="Q132" s="135">
        <v>3.8999999999999998E-3</v>
      </c>
      <c r="R132" s="135">
        <f t="shared" si="2"/>
        <v>1.5599999999999999E-2</v>
      </c>
      <c r="S132" s="135">
        <v>0</v>
      </c>
      <c r="T132" s="136">
        <f t="shared" si="3"/>
        <v>0</v>
      </c>
      <c r="AR132" s="137" t="s">
        <v>274</v>
      </c>
      <c r="AT132" s="137" t="s">
        <v>207</v>
      </c>
      <c r="AU132" s="137" t="s">
        <v>143</v>
      </c>
      <c r="AY132" s="15" t="s">
        <v>141</v>
      </c>
      <c r="BE132" s="138">
        <f t="shared" si="4"/>
        <v>0</v>
      </c>
      <c r="BF132" s="138">
        <f t="shared" si="5"/>
        <v>10640</v>
      </c>
      <c r="BG132" s="138">
        <f t="shared" si="6"/>
        <v>0</v>
      </c>
      <c r="BH132" s="138">
        <f t="shared" si="7"/>
        <v>0</v>
      </c>
      <c r="BI132" s="138">
        <f t="shared" si="8"/>
        <v>0</v>
      </c>
      <c r="BJ132" s="15" t="s">
        <v>143</v>
      </c>
      <c r="BK132" s="138">
        <f t="shared" si="9"/>
        <v>10640</v>
      </c>
      <c r="BL132" s="15" t="s">
        <v>206</v>
      </c>
      <c r="BM132" s="137" t="s">
        <v>1698</v>
      </c>
    </row>
    <row r="133" spans="2:65" s="1" customFormat="1" ht="33" customHeight="1">
      <c r="B133" s="126"/>
      <c r="C133" s="127" t="s">
        <v>190</v>
      </c>
      <c r="D133" s="127" t="s">
        <v>144</v>
      </c>
      <c r="E133" s="128" t="s">
        <v>1697</v>
      </c>
      <c r="F133" s="129" t="s">
        <v>1696</v>
      </c>
      <c r="G133" s="130" t="s">
        <v>147</v>
      </c>
      <c r="H133" s="131">
        <v>7</v>
      </c>
      <c r="I133" s="132">
        <v>426</v>
      </c>
      <c r="J133" s="132">
        <f t="shared" si="0"/>
        <v>2982</v>
      </c>
      <c r="K133" s="129" t="s">
        <v>148</v>
      </c>
      <c r="L133" s="27"/>
      <c r="M133" s="133" t="s">
        <v>1</v>
      </c>
      <c r="N133" s="134" t="s">
        <v>39</v>
      </c>
      <c r="O133" s="135">
        <v>1.0149999999999999</v>
      </c>
      <c r="P133" s="135">
        <f t="shared" si="1"/>
        <v>7.1049999999999995</v>
      </c>
      <c r="Q133" s="135">
        <v>0</v>
      </c>
      <c r="R133" s="135">
        <f t="shared" si="2"/>
        <v>0</v>
      </c>
      <c r="S133" s="135">
        <v>0</v>
      </c>
      <c r="T133" s="136">
        <f t="shared" si="3"/>
        <v>0</v>
      </c>
      <c r="AR133" s="137" t="s">
        <v>206</v>
      </c>
      <c r="AT133" s="137" t="s">
        <v>144</v>
      </c>
      <c r="AU133" s="137" t="s">
        <v>143</v>
      </c>
      <c r="AY133" s="15" t="s">
        <v>141</v>
      </c>
      <c r="BE133" s="138">
        <f t="shared" si="4"/>
        <v>0</v>
      </c>
      <c r="BF133" s="138">
        <f t="shared" si="5"/>
        <v>2982</v>
      </c>
      <c r="BG133" s="138">
        <f t="shared" si="6"/>
        <v>0</v>
      </c>
      <c r="BH133" s="138">
        <f t="shared" si="7"/>
        <v>0</v>
      </c>
      <c r="BI133" s="138">
        <f t="shared" si="8"/>
        <v>0</v>
      </c>
      <c r="BJ133" s="15" t="s">
        <v>143</v>
      </c>
      <c r="BK133" s="138">
        <f t="shared" si="9"/>
        <v>2982</v>
      </c>
      <c r="BL133" s="15" t="s">
        <v>206</v>
      </c>
      <c r="BM133" s="137" t="s">
        <v>1695</v>
      </c>
    </row>
    <row r="134" spans="2:65" s="1" customFormat="1" ht="24.2" customHeight="1">
      <c r="B134" s="126"/>
      <c r="C134" s="139" t="s">
        <v>195</v>
      </c>
      <c r="D134" s="139" t="s">
        <v>207</v>
      </c>
      <c r="E134" s="140" t="s">
        <v>1694</v>
      </c>
      <c r="F134" s="141" t="s">
        <v>1693</v>
      </c>
      <c r="G134" s="142" t="s">
        <v>147</v>
      </c>
      <c r="H134" s="143">
        <v>7</v>
      </c>
      <c r="I134" s="144">
        <v>4020</v>
      </c>
      <c r="J134" s="144">
        <f t="shared" si="0"/>
        <v>28140</v>
      </c>
      <c r="K134" s="141" t="s">
        <v>148</v>
      </c>
      <c r="L134" s="145"/>
      <c r="M134" s="146" t="s">
        <v>1</v>
      </c>
      <c r="N134" s="147" t="s">
        <v>39</v>
      </c>
      <c r="O134" s="135">
        <v>0</v>
      </c>
      <c r="P134" s="135">
        <f t="shared" si="1"/>
        <v>0</v>
      </c>
      <c r="Q134" s="135">
        <v>3.0000000000000001E-3</v>
      </c>
      <c r="R134" s="135">
        <f t="shared" si="2"/>
        <v>2.1000000000000001E-2</v>
      </c>
      <c r="S134" s="135">
        <v>0</v>
      </c>
      <c r="T134" s="136">
        <f t="shared" si="3"/>
        <v>0</v>
      </c>
      <c r="AR134" s="137" t="s">
        <v>274</v>
      </c>
      <c r="AT134" s="137" t="s">
        <v>207</v>
      </c>
      <c r="AU134" s="137" t="s">
        <v>143</v>
      </c>
      <c r="AY134" s="15" t="s">
        <v>141</v>
      </c>
      <c r="BE134" s="138">
        <f t="shared" si="4"/>
        <v>0</v>
      </c>
      <c r="BF134" s="138">
        <f t="shared" si="5"/>
        <v>28140</v>
      </c>
      <c r="BG134" s="138">
        <f t="shared" si="6"/>
        <v>0</v>
      </c>
      <c r="BH134" s="138">
        <f t="shared" si="7"/>
        <v>0</v>
      </c>
      <c r="BI134" s="138">
        <f t="shared" si="8"/>
        <v>0</v>
      </c>
      <c r="BJ134" s="15" t="s">
        <v>143</v>
      </c>
      <c r="BK134" s="138">
        <f t="shared" si="9"/>
        <v>28140</v>
      </c>
      <c r="BL134" s="15" t="s">
        <v>206</v>
      </c>
      <c r="BM134" s="137" t="s">
        <v>1692</v>
      </c>
    </row>
    <row r="135" spans="2:65" s="1" customFormat="1" ht="24.2" customHeight="1">
      <c r="B135" s="126"/>
      <c r="C135" s="127" t="s">
        <v>199</v>
      </c>
      <c r="D135" s="127" t="s">
        <v>144</v>
      </c>
      <c r="E135" s="128" t="s">
        <v>1691</v>
      </c>
      <c r="F135" s="129" t="s">
        <v>1690</v>
      </c>
      <c r="G135" s="130" t="s">
        <v>147</v>
      </c>
      <c r="H135" s="131">
        <v>2</v>
      </c>
      <c r="I135" s="132">
        <v>711</v>
      </c>
      <c r="J135" s="132">
        <f t="shared" si="0"/>
        <v>1422</v>
      </c>
      <c r="K135" s="129" t="s">
        <v>148</v>
      </c>
      <c r="L135" s="27"/>
      <c r="M135" s="133" t="s">
        <v>1</v>
      </c>
      <c r="N135" s="134" t="s">
        <v>39</v>
      </c>
      <c r="O135" s="135">
        <v>1.6919999999999999</v>
      </c>
      <c r="P135" s="135">
        <f t="shared" si="1"/>
        <v>3.3839999999999999</v>
      </c>
      <c r="Q135" s="135">
        <v>0</v>
      </c>
      <c r="R135" s="135">
        <f t="shared" si="2"/>
        <v>0</v>
      </c>
      <c r="S135" s="135">
        <v>0</v>
      </c>
      <c r="T135" s="136">
        <f t="shared" si="3"/>
        <v>0</v>
      </c>
      <c r="AR135" s="137" t="s">
        <v>206</v>
      </c>
      <c r="AT135" s="137" t="s">
        <v>144</v>
      </c>
      <c r="AU135" s="137" t="s">
        <v>143</v>
      </c>
      <c r="AY135" s="15" t="s">
        <v>141</v>
      </c>
      <c r="BE135" s="138">
        <f t="shared" si="4"/>
        <v>0</v>
      </c>
      <c r="BF135" s="138">
        <f t="shared" si="5"/>
        <v>1422</v>
      </c>
      <c r="BG135" s="138">
        <f t="shared" si="6"/>
        <v>0</v>
      </c>
      <c r="BH135" s="138">
        <f t="shared" si="7"/>
        <v>0</v>
      </c>
      <c r="BI135" s="138">
        <f t="shared" si="8"/>
        <v>0</v>
      </c>
      <c r="BJ135" s="15" t="s">
        <v>143</v>
      </c>
      <c r="BK135" s="138">
        <f t="shared" si="9"/>
        <v>1422</v>
      </c>
      <c r="BL135" s="15" t="s">
        <v>206</v>
      </c>
      <c r="BM135" s="137" t="s">
        <v>1689</v>
      </c>
    </row>
    <row r="136" spans="2:65" s="1" customFormat="1" ht="24.2" customHeight="1">
      <c r="B136" s="126"/>
      <c r="C136" s="127" t="s">
        <v>8</v>
      </c>
      <c r="D136" s="127" t="s">
        <v>144</v>
      </c>
      <c r="E136" s="128" t="s">
        <v>1688</v>
      </c>
      <c r="F136" s="129" t="s">
        <v>1687</v>
      </c>
      <c r="G136" s="130" t="s">
        <v>147</v>
      </c>
      <c r="H136" s="131">
        <v>1</v>
      </c>
      <c r="I136" s="132">
        <v>284</v>
      </c>
      <c r="J136" s="132">
        <f t="shared" si="0"/>
        <v>284</v>
      </c>
      <c r="K136" s="129" t="s">
        <v>148</v>
      </c>
      <c r="L136" s="27"/>
      <c r="M136" s="133" t="s">
        <v>1</v>
      </c>
      <c r="N136" s="134" t="s">
        <v>39</v>
      </c>
      <c r="O136" s="135">
        <v>0.67700000000000005</v>
      </c>
      <c r="P136" s="135">
        <f t="shared" si="1"/>
        <v>0.67700000000000005</v>
      </c>
      <c r="Q136" s="135">
        <v>0</v>
      </c>
      <c r="R136" s="135">
        <f t="shared" si="2"/>
        <v>0</v>
      </c>
      <c r="S136" s="135">
        <v>0</v>
      </c>
      <c r="T136" s="136">
        <f t="shared" si="3"/>
        <v>0</v>
      </c>
      <c r="AR136" s="137" t="s">
        <v>206</v>
      </c>
      <c r="AT136" s="137" t="s">
        <v>144</v>
      </c>
      <c r="AU136" s="137" t="s">
        <v>143</v>
      </c>
      <c r="AY136" s="15" t="s">
        <v>141</v>
      </c>
      <c r="BE136" s="138">
        <f t="shared" si="4"/>
        <v>0</v>
      </c>
      <c r="BF136" s="138">
        <f t="shared" si="5"/>
        <v>284</v>
      </c>
      <c r="BG136" s="138">
        <f t="shared" si="6"/>
        <v>0</v>
      </c>
      <c r="BH136" s="138">
        <f t="shared" si="7"/>
        <v>0</v>
      </c>
      <c r="BI136" s="138">
        <f t="shared" si="8"/>
        <v>0</v>
      </c>
      <c r="BJ136" s="15" t="s">
        <v>143</v>
      </c>
      <c r="BK136" s="138">
        <f t="shared" si="9"/>
        <v>284</v>
      </c>
      <c r="BL136" s="15" t="s">
        <v>206</v>
      </c>
      <c r="BM136" s="137" t="s">
        <v>1686</v>
      </c>
    </row>
    <row r="137" spans="2:65" s="1" customFormat="1" ht="21.75" customHeight="1">
      <c r="B137" s="126"/>
      <c r="C137" s="139" t="s">
        <v>206</v>
      </c>
      <c r="D137" s="139" t="s">
        <v>207</v>
      </c>
      <c r="E137" s="140" t="s">
        <v>1685</v>
      </c>
      <c r="F137" s="141" t="s">
        <v>1684</v>
      </c>
      <c r="G137" s="142" t="s">
        <v>147</v>
      </c>
      <c r="H137" s="143">
        <v>1</v>
      </c>
      <c r="I137" s="144">
        <v>505</v>
      </c>
      <c r="J137" s="144">
        <f t="shared" si="0"/>
        <v>505</v>
      </c>
      <c r="K137" s="141" t="s">
        <v>148</v>
      </c>
      <c r="L137" s="145"/>
      <c r="M137" s="146" t="s">
        <v>1</v>
      </c>
      <c r="N137" s="147" t="s">
        <v>39</v>
      </c>
      <c r="O137" s="135">
        <v>0</v>
      </c>
      <c r="P137" s="135">
        <f t="shared" si="1"/>
        <v>0</v>
      </c>
      <c r="Q137" s="135">
        <v>2.0000000000000001E-4</v>
      </c>
      <c r="R137" s="135">
        <f t="shared" si="2"/>
        <v>2.0000000000000001E-4</v>
      </c>
      <c r="S137" s="135">
        <v>0</v>
      </c>
      <c r="T137" s="136">
        <f t="shared" si="3"/>
        <v>0</v>
      </c>
      <c r="AR137" s="137" t="s">
        <v>274</v>
      </c>
      <c r="AT137" s="137" t="s">
        <v>207</v>
      </c>
      <c r="AU137" s="137" t="s">
        <v>143</v>
      </c>
      <c r="AY137" s="15" t="s">
        <v>141</v>
      </c>
      <c r="BE137" s="138">
        <f t="shared" si="4"/>
        <v>0</v>
      </c>
      <c r="BF137" s="138">
        <f t="shared" si="5"/>
        <v>505</v>
      </c>
      <c r="BG137" s="138">
        <f t="shared" si="6"/>
        <v>0</v>
      </c>
      <c r="BH137" s="138">
        <f t="shared" si="7"/>
        <v>0</v>
      </c>
      <c r="BI137" s="138">
        <f t="shared" si="8"/>
        <v>0</v>
      </c>
      <c r="BJ137" s="15" t="s">
        <v>143</v>
      </c>
      <c r="BK137" s="138">
        <f t="shared" si="9"/>
        <v>505</v>
      </c>
      <c r="BL137" s="15" t="s">
        <v>206</v>
      </c>
      <c r="BM137" s="137" t="s">
        <v>1683</v>
      </c>
    </row>
    <row r="138" spans="2:65" s="1" customFormat="1" ht="24.2" customHeight="1">
      <c r="B138" s="126"/>
      <c r="C138" s="127" t="s">
        <v>211</v>
      </c>
      <c r="D138" s="127" t="s">
        <v>144</v>
      </c>
      <c r="E138" s="128" t="s">
        <v>1682</v>
      </c>
      <c r="F138" s="129" t="s">
        <v>1681</v>
      </c>
      <c r="G138" s="130" t="s">
        <v>147</v>
      </c>
      <c r="H138" s="131">
        <v>4</v>
      </c>
      <c r="I138" s="132">
        <v>355</v>
      </c>
      <c r="J138" s="132">
        <f t="shared" si="0"/>
        <v>1420</v>
      </c>
      <c r="K138" s="129" t="s">
        <v>148</v>
      </c>
      <c r="L138" s="27"/>
      <c r="M138" s="133" t="s">
        <v>1</v>
      </c>
      <c r="N138" s="134" t="s">
        <v>39</v>
      </c>
      <c r="O138" s="135">
        <v>0.84599999999999997</v>
      </c>
      <c r="P138" s="135">
        <f t="shared" si="1"/>
        <v>3.3839999999999999</v>
      </c>
      <c r="Q138" s="135">
        <v>0</v>
      </c>
      <c r="R138" s="135">
        <f t="shared" si="2"/>
        <v>0</v>
      </c>
      <c r="S138" s="135">
        <v>0</v>
      </c>
      <c r="T138" s="136">
        <f t="shared" si="3"/>
        <v>0</v>
      </c>
      <c r="AR138" s="137" t="s">
        <v>206</v>
      </c>
      <c r="AT138" s="137" t="s">
        <v>144</v>
      </c>
      <c r="AU138" s="137" t="s">
        <v>143</v>
      </c>
      <c r="AY138" s="15" t="s">
        <v>141</v>
      </c>
      <c r="BE138" s="138">
        <f t="shared" si="4"/>
        <v>0</v>
      </c>
      <c r="BF138" s="138">
        <f t="shared" si="5"/>
        <v>1420</v>
      </c>
      <c r="BG138" s="138">
        <f t="shared" si="6"/>
        <v>0</v>
      </c>
      <c r="BH138" s="138">
        <f t="shared" si="7"/>
        <v>0</v>
      </c>
      <c r="BI138" s="138">
        <f t="shared" si="8"/>
        <v>0</v>
      </c>
      <c r="BJ138" s="15" t="s">
        <v>143</v>
      </c>
      <c r="BK138" s="138">
        <f t="shared" si="9"/>
        <v>1420</v>
      </c>
      <c r="BL138" s="15" t="s">
        <v>206</v>
      </c>
      <c r="BM138" s="137" t="s">
        <v>1680</v>
      </c>
    </row>
    <row r="139" spans="2:65" s="1" customFormat="1" ht="24.2" customHeight="1">
      <c r="B139" s="126"/>
      <c r="C139" s="139" t="s">
        <v>215</v>
      </c>
      <c r="D139" s="139" t="s">
        <v>207</v>
      </c>
      <c r="E139" s="140" t="s">
        <v>1679</v>
      </c>
      <c r="F139" s="141" t="s">
        <v>1678</v>
      </c>
      <c r="G139" s="142" t="s">
        <v>147</v>
      </c>
      <c r="H139" s="143">
        <v>4</v>
      </c>
      <c r="I139" s="144">
        <v>769</v>
      </c>
      <c r="J139" s="144">
        <f t="shared" si="0"/>
        <v>3076</v>
      </c>
      <c r="K139" s="141" t="s">
        <v>148</v>
      </c>
      <c r="L139" s="145"/>
      <c r="M139" s="146" t="s">
        <v>1</v>
      </c>
      <c r="N139" s="147" t="s">
        <v>39</v>
      </c>
      <c r="O139" s="135">
        <v>0</v>
      </c>
      <c r="P139" s="135">
        <f t="shared" si="1"/>
        <v>0</v>
      </c>
      <c r="Q139" s="135">
        <v>3.4000000000000002E-4</v>
      </c>
      <c r="R139" s="135">
        <f t="shared" si="2"/>
        <v>1.3600000000000001E-3</v>
      </c>
      <c r="S139" s="135">
        <v>0</v>
      </c>
      <c r="T139" s="136">
        <f t="shared" si="3"/>
        <v>0</v>
      </c>
      <c r="AR139" s="137" t="s">
        <v>274</v>
      </c>
      <c r="AT139" s="137" t="s">
        <v>207</v>
      </c>
      <c r="AU139" s="137" t="s">
        <v>143</v>
      </c>
      <c r="AY139" s="15" t="s">
        <v>141</v>
      </c>
      <c r="BE139" s="138">
        <f t="shared" si="4"/>
        <v>0</v>
      </c>
      <c r="BF139" s="138">
        <f t="shared" si="5"/>
        <v>3076</v>
      </c>
      <c r="BG139" s="138">
        <f t="shared" si="6"/>
        <v>0</v>
      </c>
      <c r="BH139" s="138">
        <f t="shared" si="7"/>
        <v>0</v>
      </c>
      <c r="BI139" s="138">
        <f t="shared" si="8"/>
        <v>0</v>
      </c>
      <c r="BJ139" s="15" t="s">
        <v>143</v>
      </c>
      <c r="BK139" s="138">
        <f t="shared" si="9"/>
        <v>3076</v>
      </c>
      <c r="BL139" s="15" t="s">
        <v>206</v>
      </c>
      <c r="BM139" s="137" t="s">
        <v>1677</v>
      </c>
    </row>
    <row r="140" spans="2:65" s="1" customFormat="1" ht="33" customHeight="1">
      <c r="B140" s="126"/>
      <c r="C140" s="127" t="s">
        <v>217</v>
      </c>
      <c r="D140" s="127" t="s">
        <v>144</v>
      </c>
      <c r="E140" s="128" t="s">
        <v>1676</v>
      </c>
      <c r="F140" s="129" t="s">
        <v>1675</v>
      </c>
      <c r="G140" s="130" t="s">
        <v>147</v>
      </c>
      <c r="H140" s="131">
        <v>20</v>
      </c>
      <c r="I140" s="132">
        <v>176</v>
      </c>
      <c r="J140" s="132">
        <f t="shared" si="0"/>
        <v>3520</v>
      </c>
      <c r="K140" s="129" t="s">
        <v>148</v>
      </c>
      <c r="L140" s="27"/>
      <c r="M140" s="133" t="s">
        <v>1</v>
      </c>
      <c r="N140" s="134" t="s">
        <v>39</v>
      </c>
      <c r="O140" s="135">
        <v>0.42</v>
      </c>
      <c r="P140" s="135">
        <f t="shared" si="1"/>
        <v>8.4</v>
      </c>
      <c r="Q140" s="135">
        <v>0</v>
      </c>
      <c r="R140" s="135">
        <f t="shared" si="2"/>
        <v>0</v>
      </c>
      <c r="S140" s="135">
        <v>0</v>
      </c>
      <c r="T140" s="136">
        <f t="shared" si="3"/>
        <v>0</v>
      </c>
      <c r="AR140" s="137" t="s">
        <v>206</v>
      </c>
      <c r="AT140" s="137" t="s">
        <v>144</v>
      </c>
      <c r="AU140" s="137" t="s">
        <v>143</v>
      </c>
      <c r="AY140" s="15" t="s">
        <v>141</v>
      </c>
      <c r="BE140" s="138">
        <f t="shared" si="4"/>
        <v>0</v>
      </c>
      <c r="BF140" s="138">
        <f t="shared" si="5"/>
        <v>3520</v>
      </c>
      <c r="BG140" s="138">
        <f t="shared" si="6"/>
        <v>0</v>
      </c>
      <c r="BH140" s="138">
        <f t="shared" si="7"/>
        <v>0</v>
      </c>
      <c r="BI140" s="138">
        <f t="shared" si="8"/>
        <v>0</v>
      </c>
      <c r="BJ140" s="15" t="s">
        <v>143</v>
      </c>
      <c r="BK140" s="138">
        <f t="shared" si="9"/>
        <v>3520</v>
      </c>
      <c r="BL140" s="15" t="s">
        <v>206</v>
      </c>
      <c r="BM140" s="137" t="s">
        <v>1674</v>
      </c>
    </row>
    <row r="141" spans="2:65" s="1" customFormat="1" ht="33" customHeight="1">
      <c r="B141" s="126"/>
      <c r="C141" s="127" t="s">
        <v>221</v>
      </c>
      <c r="D141" s="127" t="s">
        <v>144</v>
      </c>
      <c r="E141" s="128" t="s">
        <v>1673</v>
      </c>
      <c r="F141" s="129" t="s">
        <v>1672</v>
      </c>
      <c r="G141" s="130" t="s">
        <v>147</v>
      </c>
      <c r="H141" s="131">
        <v>3</v>
      </c>
      <c r="I141" s="132">
        <v>189</v>
      </c>
      <c r="J141" s="132">
        <f t="shared" si="0"/>
        <v>567</v>
      </c>
      <c r="K141" s="129" t="s">
        <v>148</v>
      </c>
      <c r="L141" s="27"/>
      <c r="M141" s="133" t="s">
        <v>1</v>
      </c>
      <c r="N141" s="134" t="s">
        <v>39</v>
      </c>
      <c r="O141" s="135">
        <v>0.45</v>
      </c>
      <c r="P141" s="135">
        <f t="shared" si="1"/>
        <v>1.35</v>
      </c>
      <c r="Q141" s="135">
        <v>0</v>
      </c>
      <c r="R141" s="135">
        <f t="shared" si="2"/>
        <v>0</v>
      </c>
      <c r="S141" s="135">
        <v>0</v>
      </c>
      <c r="T141" s="136">
        <f t="shared" si="3"/>
        <v>0</v>
      </c>
      <c r="AR141" s="137" t="s">
        <v>206</v>
      </c>
      <c r="AT141" s="137" t="s">
        <v>144</v>
      </c>
      <c r="AU141" s="137" t="s">
        <v>143</v>
      </c>
      <c r="AY141" s="15" t="s">
        <v>141</v>
      </c>
      <c r="BE141" s="138">
        <f t="shared" si="4"/>
        <v>0</v>
      </c>
      <c r="BF141" s="138">
        <f t="shared" si="5"/>
        <v>567</v>
      </c>
      <c r="BG141" s="138">
        <f t="shared" si="6"/>
        <v>0</v>
      </c>
      <c r="BH141" s="138">
        <f t="shared" si="7"/>
        <v>0</v>
      </c>
      <c r="BI141" s="138">
        <f t="shared" si="8"/>
        <v>0</v>
      </c>
      <c r="BJ141" s="15" t="s">
        <v>143</v>
      </c>
      <c r="BK141" s="138">
        <f t="shared" si="9"/>
        <v>567</v>
      </c>
      <c r="BL141" s="15" t="s">
        <v>206</v>
      </c>
      <c r="BM141" s="137" t="s">
        <v>1671</v>
      </c>
    </row>
    <row r="142" spans="2:65" s="1" customFormat="1" ht="16.5" customHeight="1">
      <c r="B142" s="126"/>
      <c r="C142" s="139" t="s">
        <v>7</v>
      </c>
      <c r="D142" s="139" t="s">
        <v>207</v>
      </c>
      <c r="E142" s="140" t="s">
        <v>1670</v>
      </c>
      <c r="F142" s="141" t="s">
        <v>1669</v>
      </c>
      <c r="G142" s="142" t="s">
        <v>147</v>
      </c>
      <c r="H142" s="143">
        <v>3</v>
      </c>
      <c r="I142" s="144">
        <v>421</v>
      </c>
      <c r="J142" s="144">
        <f t="shared" si="0"/>
        <v>1263</v>
      </c>
      <c r="K142" s="141" t="s">
        <v>148</v>
      </c>
      <c r="L142" s="145"/>
      <c r="M142" s="146" t="s">
        <v>1</v>
      </c>
      <c r="N142" s="147" t="s">
        <v>39</v>
      </c>
      <c r="O142" s="135">
        <v>0</v>
      </c>
      <c r="P142" s="135">
        <f t="shared" si="1"/>
        <v>0</v>
      </c>
      <c r="Q142" s="135">
        <v>2.9999999999999997E-4</v>
      </c>
      <c r="R142" s="135">
        <f t="shared" si="2"/>
        <v>8.9999999999999998E-4</v>
      </c>
      <c r="S142" s="135">
        <v>0</v>
      </c>
      <c r="T142" s="136">
        <f t="shared" si="3"/>
        <v>0</v>
      </c>
      <c r="AR142" s="137" t="s">
        <v>274</v>
      </c>
      <c r="AT142" s="137" t="s">
        <v>207</v>
      </c>
      <c r="AU142" s="137" t="s">
        <v>143</v>
      </c>
      <c r="AY142" s="15" t="s">
        <v>141</v>
      </c>
      <c r="BE142" s="138">
        <f t="shared" si="4"/>
        <v>0</v>
      </c>
      <c r="BF142" s="138">
        <f t="shared" si="5"/>
        <v>1263</v>
      </c>
      <c r="BG142" s="138">
        <f t="shared" si="6"/>
        <v>0</v>
      </c>
      <c r="BH142" s="138">
        <f t="shared" si="7"/>
        <v>0</v>
      </c>
      <c r="BI142" s="138">
        <f t="shared" si="8"/>
        <v>0</v>
      </c>
      <c r="BJ142" s="15" t="s">
        <v>143</v>
      </c>
      <c r="BK142" s="138">
        <f t="shared" si="9"/>
        <v>1263</v>
      </c>
      <c r="BL142" s="15" t="s">
        <v>206</v>
      </c>
      <c r="BM142" s="137" t="s">
        <v>1668</v>
      </c>
    </row>
    <row r="143" spans="2:65" s="1" customFormat="1" ht="37.9" customHeight="1">
      <c r="B143" s="126"/>
      <c r="C143" s="127" t="s">
        <v>228</v>
      </c>
      <c r="D143" s="127" t="s">
        <v>144</v>
      </c>
      <c r="E143" s="128" t="s">
        <v>1667</v>
      </c>
      <c r="F143" s="129" t="s">
        <v>1666</v>
      </c>
      <c r="G143" s="130" t="s">
        <v>193</v>
      </c>
      <c r="H143" s="131">
        <v>10</v>
      </c>
      <c r="I143" s="132">
        <v>538</v>
      </c>
      <c r="J143" s="132">
        <f t="shared" si="0"/>
        <v>5380</v>
      </c>
      <c r="K143" s="129" t="s">
        <v>148</v>
      </c>
      <c r="L143" s="27"/>
      <c r="M143" s="133" t="s">
        <v>1</v>
      </c>
      <c r="N143" s="134" t="s">
        <v>39</v>
      </c>
      <c r="O143" s="135">
        <v>0.434</v>
      </c>
      <c r="P143" s="135">
        <f t="shared" si="1"/>
        <v>4.34</v>
      </c>
      <c r="Q143" s="135">
        <v>1.67E-3</v>
      </c>
      <c r="R143" s="135">
        <f t="shared" si="2"/>
        <v>1.67E-2</v>
      </c>
      <c r="S143" s="135">
        <v>0</v>
      </c>
      <c r="T143" s="136">
        <f t="shared" si="3"/>
        <v>0</v>
      </c>
      <c r="AR143" s="137" t="s">
        <v>206</v>
      </c>
      <c r="AT143" s="137" t="s">
        <v>144</v>
      </c>
      <c r="AU143" s="137" t="s">
        <v>143</v>
      </c>
      <c r="AY143" s="15" t="s">
        <v>141</v>
      </c>
      <c r="BE143" s="138">
        <f t="shared" si="4"/>
        <v>0</v>
      </c>
      <c r="BF143" s="138">
        <f t="shared" si="5"/>
        <v>5380</v>
      </c>
      <c r="BG143" s="138">
        <f t="shared" si="6"/>
        <v>0</v>
      </c>
      <c r="BH143" s="138">
        <f t="shared" si="7"/>
        <v>0</v>
      </c>
      <c r="BI143" s="138">
        <f t="shared" si="8"/>
        <v>0</v>
      </c>
      <c r="BJ143" s="15" t="s">
        <v>143</v>
      </c>
      <c r="BK143" s="138">
        <f t="shared" si="9"/>
        <v>5380</v>
      </c>
      <c r="BL143" s="15" t="s">
        <v>206</v>
      </c>
      <c r="BM143" s="137" t="s">
        <v>1665</v>
      </c>
    </row>
    <row r="144" spans="2:65" s="1" customFormat="1" ht="37.9" customHeight="1">
      <c r="B144" s="126"/>
      <c r="C144" s="127" t="s">
        <v>232</v>
      </c>
      <c r="D144" s="127" t="s">
        <v>144</v>
      </c>
      <c r="E144" s="128" t="s">
        <v>1664</v>
      </c>
      <c r="F144" s="129" t="s">
        <v>1663</v>
      </c>
      <c r="G144" s="130" t="s">
        <v>193</v>
      </c>
      <c r="H144" s="131">
        <v>130</v>
      </c>
      <c r="I144" s="132">
        <v>832</v>
      </c>
      <c r="J144" s="132">
        <f t="shared" si="0"/>
        <v>108160</v>
      </c>
      <c r="K144" s="129" t="s">
        <v>148</v>
      </c>
      <c r="L144" s="27"/>
      <c r="M144" s="133" t="s">
        <v>1</v>
      </c>
      <c r="N144" s="134" t="s">
        <v>39</v>
      </c>
      <c r="O144" s="135">
        <v>0.52300000000000002</v>
      </c>
      <c r="P144" s="135">
        <f t="shared" si="1"/>
        <v>67.990000000000009</v>
      </c>
      <c r="Q144" s="135">
        <v>3.4399999999999999E-3</v>
      </c>
      <c r="R144" s="135">
        <f t="shared" si="2"/>
        <v>0.44719999999999999</v>
      </c>
      <c r="S144" s="135">
        <v>0</v>
      </c>
      <c r="T144" s="136">
        <f t="shared" si="3"/>
        <v>0</v>
      </c>
      <c r="AR144" s="137" t="s">
        <v>206</v>
      </c>
      <c r="AT144" s="137" t="s">
        <v>144</v>
      </c>
      <c r="AU144" s="137" t="s">
        <v>143</v>
      </c>
      <c r="AY144" s="15" t="s">
        <v>141</v>
      </c>
      <c r="BE144" s="138">
        <f t="shared" si="4"/>
        <v>0</v>
      </c>
      <c r="BF144" s="138">
        <f t="shared" si="5"/>
        <v>108160</v>
      </c>
      <c r="BG144" s="138">
        <f t="shared" si="6"/>
        <v>0</v>
      </c>
      <c r="BH144" s="138">
        <f t="shared" si="7"/>
        <v>0</v>
      </c>
      <c r="BI144" s="138">
        <f t="shared" si="8"/>
        <v>0</v>
      </c>
      <c r="BJ144" s="15" t="s">
        <v>143</v>
      </c>
      <c r="BK144" s="138">
        <f t="shared" si="9"/>
        <v>108160</v>
      </c>
      <c r="BL144" s="15" t="s">
        <v>206</v>
      </c>
      <c r="BM144" s="137" t="s">
        <v>1662</v>
      </c>
    </row>
    <row r="145" spans="2:65" s="1" customFormat="1" ht="37.9" customHeight="1">
      <c r="B145" s="126"/>
      <c r="C145" s="127" t="s">
        <v>236</v>
      </c>
      <c r="D145" s="127" t="s">
        <v>144</v>
      </c>
      <c r="E145" s="128" t="s">
        <v>1661</v>
      </c>
      <c r="F145" s="129" t="s">
        <v>1660</v>
      </c>
      <c r="G145" s="130" t="s">
        <v>147</v>
      </c>
      <c r="H145" s="131">
        <v>5</v>
      </c>
      <c r="I145" s="132">
        <v>276</v>
      </c>
      <c r="J145" s="132">
        <f t="shared" si="0"/>
        <v>1380</v>
      </c>
      <c r="K145" s="129" t="s">
        <v>148</v>
      </c>
      <c r="L145" s="27"/>
      <c r="M145" s="133" t="s">
        <v>1</v>
      </c>
      <c r="N145" s="134" t="s">
        <v>39</v>
      </c>
      <c r="O145" s="135">
        <v>0.65700000000000003</v>
      </c>
      <c r="P145" s="135">
        <f t="shared" si="1"/>
        <v>3.2850000000000001</v>
      </c>
      <c r="Q145" s="135">
        <v>0</v>
      </c>
      <c r="R145" s="135">
        <f t="shared" si="2"/>
        <v>0</v>
      </c>
      <c r="S145" s="135">
        <v>0</v>
      </c>
      <c r="T145" s="136">
        <f t="shared" si="3"/>
        <v>0</v>
      </c>
      <c r="AR145" s="137" t="s">
        <v>206</v>
      </c>
      <c r="AT145" s="137" t="s">
        <v>144</v>
      </c>
      <c r="AU145" s="137" t="s">
        <v>143</v>
      </c>
      <c r="AY145" s="15" t="s">
        <v>141</v>
      </c>
      <c r="BE145" s="138">
        <f t="shared" si="4"/>
        <v>0</v>
      </c>
      <c r="BF145" s="138">
        <f t="shared" si="5"/>
        <v>1380</v>
      </c>
      <c r="BG145" s="138">
        <f t="shared" si="6"/>
        <v>0</v>
      </c>
      <c r="BH145" s="138">
        <f t="shared" si="7"/>
        <v>0</v>
      </c>
      <c r="BI145" s="138">
        <f t="shared" si="8"/>
        <v>0</v>
      </c>
      <c r="BJ145" s="15" t="s">
        <v>143</v>
      </c>
      <c r="BK145" s="138">
        <f t="shared" si="9"/>
        <v>1380</v>
      </c>
      <c r="BL145" s="15" t="s">
        <v>206</v>
      </c>
      <c r="BM145" s="137" t="s">
        <v>1659</v>
      </c>
    </row>
    <row r="146" spans="2:65" s="1" customFormat="1" ht="16.5" customHeight="1">
      <c r="B146" s="126"/>
      <c r="C146" s="139" t="s">
        <v>240</v>
      </c>
      <c r="D146" s="139" t="s">
        <v>207</v>
      </c>
      <c r="E146" s="140" t="s">
        <v>1658</v>
      </c>
      <c r="F146" s="141" t="s">
        <v>1657</v>
      </c>
      <c r="G146" s="142" t="s">
        <v>147</v>
      </c>
      <c r="H146" s="143">
        <v>3</v>
      </c>
      <c r="I146" s="144">
        <v>1850</v>
      </c>
      <c r="J146" s="144">
        <f t="shared" si="0"/>
        <v>5550</v>
      </c>
      <c r="K146" s="141" t="s">
        <v>148</v>
      </c>
      <c r="L146" s="145"/>
      <c r="M146" s="146" t="s">
        <v>1</v>
      </c>
      <c r="N146" s="147" t="s">
        <v>39</v>
      </c>
      <c r="O146" s="135">
        <v>0</v>
      </c>
      <c r="P146" s="135">
        <f t="shared" si="1"/>
        <v>0</v>
      </c>
      <c r="Q146" s="135">
        <v>5.0000000000000001E-4</v>
      </c>
      <c r="R146" s="135">
        <f t="shared" si="2"/>
        <v>1.5E-3</v>
      </c>
      <c r="S146" s="135">
        <v>0</v>
      </c>
      <c r="T146" s="136">
        <f t="shared" si="3"/>
        <v>0</v>
      </c>
      <c r="AR146" s="137" t="s">
        <v>274</v>
      </c>
      <c r="AT146" s="137" t="s">
        <v>207</v>
      </c>
      <c r="AU146" s="137" t="s">
        <v>143</v>
      </c>
      <c r="AY146" s="15" t="s">
        <v>141</v>
      </c>
      <c r="BE146" s="138">
        <f t="shared" si="4"/>
        <v>0</v>
      </c>
      <c r="BF146" s="138">
        <f t="shared" si="5"/>
        <v>5550</v>
      </c>
      <c r="BG146" s="138">
        <f t="shared" si="6"/>
        <v>0</v>
      </c>
      <c r="BH146" s="138">
        <f t="shared" si="7"/>
        <v>0</v>
      </c>
      <c r="BI146" s="138">
        <f t="shared" si="8"/>
        <v>0</v>
      </c>
      <c r="BJ146" s="15" t="s">
        <v>143</v>
      </c>
      <c r="BK146" s="138">
        <f t="shared" si="9"/>
        <v>5550</v>
      </c>
      <c r="BL146" s="15" t="s">
        <v>206</v>
      </c>
      <c r="BM146" s="137" t="s">
        <v>1656</v>
      </c>
    </row>
    <row r="147" spans="2:65" s="1" customFormat="1" ht="37.9" customHeight="1">
      <c r="B147" s="126"/>
      <c r="C147" s="127" t="s">
        <v>244</v>
      </c>
      <c r="D147" s="127" t="s">
        <v>144</v>
      </c>
      <c r="E147" s="128" t="s">
        <v>1655</v>
      </c>
      <c r="F147" s="129" t="s">
        <v>1654</v>
      </c>
      <c r="G147" s="130" t="s">
        <v>193</v>
      </c>
      <c r="H147" s="131">
        <v>30</v>
      </c>
      <c r="I147" s="132">
        <v>180</v>
      </c>
      <c r="J147" s="132">
        <f t="shared" si="0"/>
        <v>5400</v>
      </c>
      <c r="K147" s="129" t="s">
        <v>148</v>
      </c>
      <c r="L147" s="27"/>
      <c r="M147" s="133" t="s">
        <v>1</v>
      </c>
      <c r="N147" s="134" t="s">
        <v>39</v>
      </c>
      <c r="O147" s="135">
        <v>0.42799999999999999</v>
      </c>
      <c r="P147" s="135">
        <f t="shared" si="1"/>
        <v>12.84</v>
      </c>
      <c r="Q147" s="135">
        <v>0</v>
      </c>
      <c r="R147" s="135">
        <f t="shared" si="2"/>
        <v>0</v>
      </c>
      <c r="S147" s="135">
        <v>0</v>
      </c>
      <c r="T147" s="136">
        <f t="shared" si="3"/>
        <v>0</v>
      </c>
      <c r="AR147" s="137" t="s">
        <v>206</v>
      </c>
      <c r="AT147" s="137" t="s">
        <v>144</v>
      </c>
      <c r="AU147" s="137" t="s">
        <v>143</v>
      </c>
      <c r="AY147" s="15" t="s">
        <v>141</v>
      </c>
      <c r="BE147" s="138">
        <f t="shared" si="4"/>
        <v>0</v>
      </c>
      <c r="BF147" s="138">
        <f t="shared" si="5"/>
        <v>5400</v>
      </c>
      <c r="BG147" s="138">
        <f t="shared" si="6"/>
        <v>0</v>
      </c>
      <c r="BH147" s="138">
        <f t="shared" si="7"/>
        <v>0</v>
      </c>
      <c r="BI147" s="138">
        <f t="shared" si="8"/>
        <v>0</v>
      </c>
      <c r="BJ147" s="15" t="s">
        <v>143</v>
      </c>
      <c r="BK147" s="138">
        <f t="shared" si="9"/>
        <v>5400</v>
      </c>
      <c r="BL147" s="15" t="s">
        <v>206</v>
      </c>
      <c r="BM147" s="137" t="s">
        <v>1653</v>
      </c>
    </row>
    <row r="148" spans="2:65" s="1" customFormat="1" ht="24.2" customHeight="1">
      <c r="B148" s="126"/>
      <c r="C148" s="139" t="s">
        <v>249</v>
      </c>
      <c r="D148" s="139" t="s">
        <v>207</v>
      </c>
      <c r="E148" s="140" t="s">
        <v>1652</v>
      </c>
      <c r="F148" s="141" t="s">
        <v>1651</v>
      </c>
      <c r="G148" s="142" t="s">
        <v>147</v>
      </c>
      <c r="H148" s="143">
        <v>3</v>
      </c>
      <c r="I148" s="144">
        <v>514</v>
      </c>
      <c r="J148" s="144">
        <f t="shared" si="0"/>
        <v>1542</v>
      </c>
      <c r="K148" s="141" t="s">
        <v>148</v>
      </c>
      <c r="L148" s="145"/>
      <c r="M148" s="146" t="s">
        <v>1</v>
      </c>
      <c r="N148" s="147" t="s">
        <v>39</v>
      </c>
      <c r="O148" s="135">
        <v>0</v>
      </c>
      <c r="P148" s="135">
        <f t="shared" si="1"/>
        <v>0</v>
      </c>
      <c r="Q148" s="135">
        <v>5.3E-3</v>
      </c>
      <c r="R148" s="135">
        <f t="shared" si="2"/>
        <v>1.5900000000000001E-2</v>
      </c>
      <c r="S148" s="135">
        <v>0</v>
      </c>
      <c r="T148" s="136">
        <f t="shared" si="3"/>
        <v>0</v>
      </c>
      <c r="AR148" s="137" t="s">
        <v>274</v>
      </c>
      <c r="AT148" s="137" t="s">
        <v>207</v>
      </c>
      <c r="AU148" s="137" t="s">
        <v>143</v>
      </c>
      <c r="AY148" s="15" t="s">
        <v>141</v>
      </c>
      <c r="BE148" s="138">
        <f t="shared" si="4"/>
        <v>0</v>
      </c>
      <c r="BF148" s="138">
        <f t="shared" si="5"/>
        <v>1542</v>
      </c>
      <c r="BG148" s="138">
        <f t="shared" si="6"/>
        <v>0</v>
      </c>
      <c r="BH148" s="138">
        <f t="shared" si="7"/>
        <v>0</v>
      </c>
      <c r="BI148" s="138">
        <f t="shared" si="8"/>
        <v>0</v>
      </c>
      <c r="BJ148" s="15" t="s">
        <v>143</v>
      </c>
      <c r="BK148" s="138">
        <f t="shared" si="9"/>
        <v>1542</v>
      </c>
      <c r="BL148" s="15" t="s">
        <v>206</v>
      </c>
      <c r="BM148" s="137" t="s">
        <v>1650</v>
      </c>
    </row>
    <row r="149" spans="2:65" s="12" customFormat="1">
      <c r="B149" s="148"/>
      <c r="D149" s="149" t="s">
        <v>363</v>
      </c>
      <c r="F149" s="150" t="s">
        <v>1649</v>
      </c>
      <c r="H149" s="151">
        <v>3</v>
      </c>
      <c r="L149" s="148"/>
      <c r="M149" s="152"/>
      <c r="T149" s="153"/>
      <c r="AT149" s="154" t="s">
        <v>363</v>
      </c>
      <c r="AU149" s="154" t="s">
        <v>143</v>
      </c>
      <c r="AV149" s="12" t="s">
        <v>143</v>
      </c>
      <c r="AW149" s="12" t="s">
        <v>3</v>
      </c>
      <c r="AX149" s="12" t="s">
        <v>81</v>
      </c>
      <c r="AY149" s="154" t="s">
        <v>141</v>
      </c>
    </row>
    <row r="150" spans="2:65" s="1" customFormat="1" ht="37.9" customHeight="1">
      <c r="B150" s="126"/>
      <c r="C150" s="127" t="s">
        <v>253</v>
      </c>
      <c r="D150" s="127" t="s">
        <v>144</v>
      </c>
      <c r="E150" s="128" t="s">
        <v>1648</v>
      </c>
      <c r="F150" s="129" t="s">
        <v>1647</v>
      </c>
      <c r="G150" s="130" t="s">
        <v>193</v>
      </c>
      <c r="H150" s="131">
        <v>10</v>
      </c>
      <c r="I150" s="132">
        <v>255</v>
      </c>
      <c r="J150" s="132">
        <f t="shared" ref="J150:J166" si="10">ROUND(I150*H150,2)</f>
        <v>2550</v>
      </c>
      <c r="K150" s="129" t="s">
        <v>148</v>
      </c>
      <c r="L150" s="27"/>
      <c r="M150" s="133" t="s">
        <v>1</v>
      </c>
      <c r="N150" s="134" t="s">
        <v>39</v>
      </c>
      <c r="O150" s="135">
        <v>0.28000000000000003</v>
      </c>
      <c r="P150" s="135">
        <f t="shared" ref="P150:P166" si="11">O150*H150</f>
        <v>2.8000000000000003</v>
      </c>
      <c r="Q150" s="135">
        <v>5.8E-4</v>
      </c>
      <c r="R150" s="135">
        <f t="shared" ref="R150:R166" si="12">Q150*H150</f>
        <v>5.7999999999999996E-3</v>
      </c>
      <c r="S150" s="135">
        <v>0</v>
      </c>
      <c r="T150" s="136">
        <f t="shared" ref="T150:T166" si="13">S150*H150</f>
        <v>0</v>
      </c>
      <c r="AR150" s="137" t="s">
        <v>206</v>
      </c>
      <c r="AT150" s="137" t="s">
        <v>144</v>
      </c>
      <c r="AU150" s="137" t="s">
        <v>143</v>
      </c>
      <c r="AY150" s="15" t="s">
        <v>141</v>
      </c>
      <c r="BE150" s="138">
        <f t="shared" ref="BE150:BE166" si="14">IF(N150="základní",J150,0)</f>
        <v>0</v>
      </c>
      <c r="BF150" s="138">
        <f t="shared" ref="BF150:BF166" si="15">IF(N150="snížená",J150,0)</f>
        <v>2550</v>
      </c>
      <c r="BG150" s="138">
        <f t="shared" ref="BG150:BG166" si="16">IF(N150="zákl. přenesená",J150,0)</f>
        <v>0</v>
      </c>
      <c r="BH150" s="138">
        <f t="shared" ref="BH150:BH166" si="17">IF(N150="sníž. přenesená",J150,0)</f>
        <v>0</v>
      </c>
      <c r="BI150" s="138">
        <f t="shared" ref="BI150:BI166" si="18">IF(N150="nulová",J150,0)</f>
        <v>0</v>
      </c>
      <c r="BJ150" s="15" t="s">
        <v>143</v>
      </c>
      <c r="BK150" s="138">
        <f t="shared" ref="BK150:BK166" si="19">ROUND(I150*H150,2)</f>
        <v>2550</v>
      </c>
      <c r="BL150" s="15" t="s">
        <v>206</v>
      </c>
      <c r="BM150" s="137" t="s">
        <v>1646</v>
      </c>
    </row>
    <row r="151" spans="2:65" s="1" customFormat="1" ht="37.9" customHeight="1">
      <c r="B151" s="126"/>
      <c r="C151" s="127" t="s">
        <v>257</v>
      </c>
      <c r="D151" s="127" t="s">
        <v>144</v>
      </c>
      <c r="E151" s="128" t="s">
        <v>1645</v>
      </c>
      <c r="F151" s="129" t="s">
        <v>1644</v>
      </c>
      <c r="G151" s="130" t="s">
        <v>193</v>
      </c>
      <c r="H151" s="131">
        <v>130</v>
      </c>
      <c r="I151" s="132">
        <v>281</v>
      </c>
      <c r="J151" s="132">
        <f t="shared" si="10"/>
        <v>36530</v>
      </c>
      <c r="K151" s="129" t="s">
        <v>148</v>
      </c>
      <c r="L151" s="27"/>
      <c r="M151" s="133" t="s">
        <v>1</v>
      </c>
      <c r="N151" s="134" t="s">
        <v>39</v>
      </c>
      <c r="O151" s="135">
        <v>0.28000000000000003</v>
      </c>
      <c r="P151" s="135">
        <f t="shared" si="11"/>
        <v>36.400000000000006</v>
      </c>
      <c r="Q151" s="135">
        <v>6.9999999999999999E-4</v>
      </c>
      <c r="R151" s="135">
        <f t="shared" si="12"/>
        <v>9.0999999999999998E-2</v>
      </c>
      <c r="S151" s="135">
        <v>0</v>
      </c>
      <c r="T151" s="136">
        <f t="shared" si="13"/>
        <v>0</v>
      </c>
      <c r="AR151" s="137" t="s">
        <v>206</v>
      </c>
      <c r="AT151" s="137" t="s">
        <v>144</v>
      </c>
      <c r="AU151" s="137" t="s">
        <v>143</v>
      </c>
      <c r="AY151" s="15" t="s">
        <v>141</v>
      </c>
      <c r="BE151" s="138">
        <f t="shared" si="14"/>
        <v>0</v>
      </c>
      <c r="BF151" s="138">
        <f t="shared" si="15"/>
        <v>36530</v>
      </c>
      <c r="BG151" s="138">
        <f t="shared" si="16"/>
        <v>0</v>
      </c>
      <c r="BH151" s="138">
        <f t="shared" si="17"/>
        <v>0</v>
      </c>
      <c r="BI151" s="138">
        <f t="shared" si="18"/>
        <v>0</v>
      </c>
      <c r="BJ151" s="15" t="s">
        <v>143</v>
      </c>
      <c r="BK151" s="138">
        <f t="shared" si="19"/>
        <v>36530</v>
      </c>
      <c r="BL151" s="15" t="s">
        <v>206</v>
      </c>
      <c r="BM151" s="137" t="s">
        <v>1643</v>
      </c>
    </row>
    <row r="152" spans="2:65" s="1" customFormat="1" ht="33" customHeight="1">
      <c r="B152" s="126"/>
      <c r="C152" s="127" t="s">
        <v>261</v>
      </c>
      <c r="D152" s="127" t="s">
        <v>144</v>
      </c>
      <c r="E152" s="128" t="s">
        <v>1642</v>
      </c>
      <c r="F152" s="129" t="s">
        <v>1641</v>
      </c>
      <c r="G152" s="130" t="s">
        <v>193</v>
      </c>
      <c r="H152" s="131">
        <v>30</v>
      </c>
      <c r="I152" s="132">
        <v>154</v>
      </c>
      <c r="J152" s="132">
        <f t="shared" si="10"/>
        <v>4620</v>
      </c>
      <c r="K152" s="129" t="s">
        <v>148</v>
      </c>
      <c r="L152" s="27"/>
      <c r="M152" s="133" t="s">
        <v>1</v>
      </c>
      <c r="N152" s="134" t="s">
        <v>39</v>
      </c>
      <c r="O152" s="135">
        <v>0.24</v>
      </c>
      <c r="P152" s="135">
        <f t="shared" si="11"/>
        <v>7.1999999999999993</v>
      </c>
      <c r="Q152" s="135">
        <v>2.2000000000000001E-4</v>
      </c>
      <c r="R152" s="135">
        <f t="shared" si="12"/>
        <v>6.6E-3</v>
      </c>
      <c r="S152" s="135">
        <v>0</v>
      </c>
      <c r="T152" s="136">
        <f t="shared" si="13"/>
        <v>0</v>
      </c>
      <c r="AR152" s="137" t="s">
        <v>206</v>
      </c>
      <c r="AT152" s="137" t="s">
        <v>144</v>
      </c>
      <c r="AU152" s="137" t="s">
        <v>143</v>
      </c>
      <c r="AY152" s="15" t="s">
        <v>141</v>
      </c>
      <c r="BE152" s="138">
        <f t="shared" si="14"/>
        <v>0</v>
      </c>
      <c r="BF152" s="138">
        <f t="shared" si="15"/>
        <v>4620</v>
      </c>
      <c r="BG152" s="138">
        <f t="shared" si="16"/>
        <v>0</v>
      </c>
      <c r="BH152" s="138">
        <f t="shared" si="17"/>
        <v>0</v>
      </c>
      <c r="BI152" s="138">
        <f t="shared" si="18"/>
        <v>0</v>
      </c>
      <c r="BJ152" s="15" t="s">
        <v>143</v>
      </c>
      <c r="BK152" s="138">
        <f t="shared" si="19"/>
        <v>4620</v>
      </c>
      <c r="BL152" s="15" t="s">
        <v>206</v>
      </c>
      <c r="BM152" s="137" t="s">
        <v>1640</v>
      </c>
    </row>
    <row r="153" spans="2:65" s="1" customFormat="1" ht="37.9" customHeight="1">
      <c r="B153" s="126"/>
      <c r="C153" s="127" t="s">
        <v>270</v>
      </c>
      <c r="D153" s="127" t="s">
        <v>144</v>
      </c>
      <c r="E153" s="128" t="s">
        <v>1639</v>
      </c>
      <c r="F153" s="129" t="s">
        <v>1638</v>
      </c>
      <c r="G153" s="130" t="s">
        <v>147</v>
      </c>
      <c r="H153" s="131">
        <v>1</v>
      </c>
      <c r="I153" s="132">
        <v>2340</v>
      </c>
      <c r="J153" s="132">
        <f t="shared" si="10"/>
        <v>2340</v>
      </c>
      <c r="K153" s="129" t="s">
        <v>148</v>
      </c>
      <c r="L153" s="27"/>
      <c r="M153" s="133" t="s">
        <v>1</v>
      </c>
      <c r="N153" s="134" t="s">
        <v>39</v>
      </c>
      <c r="O153" s="135">
        <v>4</v>
      </c>
      <c r="P153" s="135">
        <f t="shared" si="11"/>
        <v>4</v>
      </c>
      <c r="Q153" s="135">
        <v>0</v>
      </c>
      <c r="R153" s="135">
        <f t="shared" si="12"/>
        <v>0</v>
      </c>
      <c r="S153" s="135">
        <v>0</v>
      </c>
      <c r="T153" s="136">
        <f t="shared" si="13"/>
        <v>0</v>
      </c>
      <c r="AR153" s="137" t="s">
        <v>206</v>
      </c>
      <c r="AT153" s="137" t="s">
        <v>144</v>
      </c>
      <c r="AU153" s="137" t="s">
        <v>143</v>
      </c>
      <c r="AY153" s="15" t="s">
        <v>141</v>
      </c>
      <c r="BE153" s="138">
        <f t="shared" si="14"/>
        <v>0</v>
      </c>
      <c r="BF153" s="138">
        <f t="shared" si="15"/>
        <v>2340</v>
      </c>
      <c r="BG153" s="138">
        <f t="shared" si="16"/>
        <v>0</v>
      </c>
      <c r="BH153" s="138">
        <f t="shared" si="17"/>
        <v>0</v>
      </c>
      <c r="BI153" s="138">
        <f t="shared" si="18"/>
        <v>0</v>
      </c>
      <c r="BJ153" s="15" t="s">
        <v>143</v>
      </c>
      <c r="BK153" s="138">
        <f t="shared" si="19"/>
        <v>2340</v>
      </c>
      <c r="BL153" s="15" t="s">
        <v>206</v>
      </c>
      <c r="BM153" s="137" t="s">
        <v>1637</v>
      </c>
    </row>
    <row r="154" spans="2:65" s="1" customFormat="1" ht="24.2" customHeight="1">
      <c r="B154" s="126"/>
      <c r="C154" s="127" t="s">
        <v>274</v>
      </c>
      <c r="D154" s="127" t="s">
        <v>144</v>
      </c>
      <c r="E154" s="128" t="s">
        <v>1636</v>
      </c>
      <c r="F154" s="129" t="s">
        <v>1635</v>
      </c>
      <c r="G154" s="130" t="s">
        <v>193</v>
      </c>
      <c r="H154" s="131">
        <v>125</v>
      </c>
      <c r="I154" s="132">
        <v>63</v>
      </c>
      <c r="J154" s="132">
        <f t="shared" si="10"/>
        <v>7875</v>
      </c>
      <c r="K154" s="129" t="s">
        <v>148</v>
      </c>
      <c r="L154" s="27"/>
      <c r="M154" s="133" t="s">
        <v>1</v>
      </c>
      <c r="N154" s="134" t="s">
        <v>39</v>
      </c>
      <c r="O154" s="135">
        <v>0.15</v>
      </c>
      <c r="P154" s="135">
        <f t="shared" si="11"/>
        <v>18.75</v>
      </c>
      <c r="Q154" s="135">
        <v>0</v>
      </c>
      <c r="R154" s="135">
        <f t="shared" si="12"/>
        <v>0</v>
      </c>
      <c r="S154" s="135">
        <v>0</v>
      </c>
      <c r="T154" s="136">
        <f t="shared" si="13"/>
        <v>0</v>
      </c>
      <c r="AR154" s="137" t="s">
        <v>206</v>
      </c>
      <c r="AT154" s="137" t="s">
        <v>144</v>
      </c>
      <c r="AU154" s="137" t="s">
        <v>143</v>
      </c>
      <c r="AY154" s="15" t="s">
        <v>141</v>
      </c>
      <c r="BE154" s="138">
        <f t="shared" si="14"/>
        <v>0</v>
      </c>
      <c r="BF154" s="138">
        <f t="shared" si="15"/>
        <v>7875</v>
      </c>
      <c r="BG154" s="138">
        <f t="shared" si="16"/>
        <v>0</v>
      </c>
      <c r="BH154" s="138">
        <f t="shared" si="17"/>
        <v>0</v>
      </c>
      <c r="BI154" s="138">
        <f t="shared" si="18"/>
        <v>0</v>
      </c>
      <c r="BJ154" s="15" t="s">
        <v>143</v>
      </c>
      <c r="BK154" s="138">
        <f t="shared" si="19"/>
        <v>7875</v>
      </c>
      <c r="BL154" s="15" t="s">
        <v>206</v>
      </c>
      <c r="BM154" s="137" t="s">
        <v>1634</v>
      </c>
    </row>
    <row r="155" spans="2:65" s="1" customFormat="1" ht="33" customHeight="1">
      <c r="B155" s="126"/>
      <c r="C155" s="139" t="s">
        <v>278</v>
      </c>
      <c r="D155" s="139" t="s">
        <v>207</v>
      </c>
      <c r="E155" s="140" t="s">
        <v>1633</v>
      </c>
      <c r="F155" s="141" t="s">
        <v>1632</v>
      </c>
      <c r="G155" s="142" t="s">
        <v>147</v>
      </c>
      <c r="H155" s="143">
        <v>3</v>
      </c>
      <c r="I155" s="144">
        <v>942</v>
      </c>
      <c r="J155" s="144">
        <f t="shared" si="10"/>
        <v>2826</v>
      </c>
      <c r="K155" s="141" t="s">
        <v>148</v>
      </c>
      <c r="L155" s="145"/>
      <c r="M155" s="146" t="s">
        <v>1</v>
      </c>
      <c r="N155" s="147" t="s">
        <v>39</v>
      </c>
      <c r="O155" s="135">
        <v>0</v>
      </c>
      <c r="P155" s="135">
        <f t="shared" si="11"/>
        <v>0</v>
      </c>
      <c r="Q155" s="135">
        <v>6.7000000000000002E-3</v>
      </c>
      <c r="R155" s="135">
        <f t="shared" si="12"/>
        <v>2.01E-2</v>
      </c>
      <c r="S155" s="135">
        <v>0</v>
      </c>
      <c r="T155" s="136">
        <f t="shared" si="13"/>
        <v>0</v>
      </c>
      <c r="AR155" s="137" t="s">
        <v>274</v>
      </c>
      <c r="AT155" s="137" t="s">
        <v>207</v>
      </c>
      <c r="AU155" s="137" t="s">
        <v>143</v>
      </c>
      <c r="AY155" s="15" t="s">
        <v>141</v>
      </c>
      <c r="BE155" s="138">
        <f t="shared" si="14"/>
        <v>0</v>
      </c>
      <c r="BF155" s="138">
        <f t="shared" si="15"/>
        <v>2826</v>
      </c>
      <c r="BG155" s="138">
        <f t="shared" si="16"/>
        <v>0</v>
      </c>
      <c r="BH155" s="138">
        <f t="shared" si="17"/>
        <v>0</v>
      </c>
      <c r="BI155" s="138">
        <f t="shared" si="18"/>
        <v>0</v>
      </c>
      <c r="BJ155" s="15" t="s">
        <v>143</v>
      </c>
      <c r="BK155" s="138">
        <f t="shared" si="19"/>
        <v>2826</v>
      </c>
      <c r="BL155" s="15" t="s">
        <v>206</v>
      </c>
      <c r="BM155" s="137" t="s">
        <v>1631</v>
      </c>
    </row>
    <row r="156" spans="2:65" s="1" customFormat="1" ht="33" customHeight="1">
      <c r="B156" s="126"/>
      <c r="C156" s="139" t="s">
        <v>282</v>
      </c>
      <c r="D156" s="139" t="s">
        <v>207</v>
      </c>
      <c r="E156" s="140" t="s">
        <v>1630</v>
      </c>
      <c r="F156" s="141" t="s">
        <v>1629</v>
      </c>
      <c r="G156" s="142" t="s">
        <v>147</v>
      </c>
      <c r="H156" s="143">
        <v>8</v>
      </c>
      <c r="I156" s="144">
        <v>1140</v>
      </c>
      <c r="J156" s="144">
        <f t="shared" si="10"/>
        <v>9120</v>
      </c>
      <c r="K156" s="141" t="s">
        <v>148</v>
      </c>
      <c r="L156" s="145"/>
      <c r="M156" s="146" t="s">
        <v>1</v>
      </c>
      <c r="N156" s="147" t="s">
        <v>39</v>
      </c>
      <c r="O156" s="135">
        <v>0</v>
      </c>
      <c r="P156" s="135">
        <f t="shared" si="11"/>
        <v>0</v>
      </c>
      <c r="Q156" s="135">
        <v>9.2999999999999992E-3</v>
      </c>
      <c r="R156" s="135">
        <f t="shared" si="12"/>
        <v>7.4399999999999994E-2</v>
      </c>
      <c r="S156" s="135">
        <v>0</v>
      </c>
      <c r="T156" s="136">
        <f t="shared" si="13"/>
        <v>0</v>
      </c>
      <c r="AR156" s="137" t="s">
        <v>274</v>
      </c>
      <c r="AT156" s="137" t="s">
        <v>207</v>
      </c>
      <c r="AU156" s="137" t="s">
        <v>143</v>
      </c>
      <c r="AY156" s="15" t="s">
        <v>141</v>
      </c>
      <c r="BE156" s="138">
        <f t="shared" si="14"/>
        <v>0</v>
      </c>
      <c r="BF156" s="138">
        <f t="shared" si="15"/>
        <v>9120</v>
      </c>
      <c r="BG156" s="138">
        <f t="shared" si="16"/>
        <v>0</v>
      </c>
      <c r="BH156" s="138">
        <f t="shared" si="17"/>
        <v>0</v>
      </c>
      <c r="BI156" s="138">
        <f t="shared" si="18"/>
        <v>0</v>
      </c>
      <c r="BJ156" s="15" t="s">
        <v>143</v>
      </c>
      <c r="BK156" s="138">
        <f t="shared" si="19"/>
        <v>9120</v>
      </c>
      <c r="BL156" s="15" t="s">
        <v>206</v>
      </c>
      <c r="BM156" s="137" t="s">
        <v>1628</v>
      </c>
    </row>
    <row r="157" spans="2:65" s="1" customFormat="1" ht="33" customHeight="1">
      <c r="B157" s="126"/>
      <c r="C157" s="139" t="s">
        <v>286</v>
      </c>
      <c r="D157" s="139" t="s">
        <v>207</v>
      </c>
      <c r="E157" s="140" t="s">
        <v>1627</v>
      </c>
      <c r="F157" s="141" t="s">
        <v>1626</v>
      </c>
      <c r="G157" s="142" t="s">
        <v>147</v>
      </c>
      <c r="H157" s="143">
        <v>2</v>
      </c>
      <c r="I157" s="144">
        <v>1390</v>
      </c>
      <c r="J157" s="144">
        <f t="shared" si="10"/>
        <v>2780</v>
      </c>
      <c r="K157" s="141" t="s">
        <v>148</v>
      </c>
      <c r="L157" s="145"/>
      <c r="M157" s="146" t="s">
        <v>1</v>
      </c>
      <c r="N157" s="147" t="s">
        <v>39</v>
      </c>
      <c r="O157" s="135">
        <v>0</v>
      </c>
      <c r="P157" s="135">
        <f t="shared" si="11"/>
        <v>0</v>
      </c>
      <c r="Q157" s="135">
        <v>1.0500000000000001E-2</v>
      </c>
      <c r="R157" s="135">
        <f t="shared" si="12"/>
        <v>2.1000000000000001E-2</v>
      </c>
      <c r="S157" s="135">
        <v>0</v>
      </c>
      <c r="T157" s="136">
        <f t="shared" si="13"/>
        <v>0</v>
      </c>
      <c r="AR157" s="137" t="s">
        <v>274</v>
      </c>
      <c r="AT157" s="137" t="s">
        <v>207</v>
      </c>
      <c r="AU157" s="137" t="s">
        <v>143</v>
      </c>
      <c r="AY157" s="15" t="s">
        <v>141</v>
      </c>
      <c r="BE157" s="138">
        <f t="shared" si="14"/>
        <v>0</v>
      </c>
      <c r="BF157" s="138">
        <f t="shared" si="15"/>
        <v>2780</v>
      </c>
      <c r="BG157" s="138">
        <f t="shared" si="16"/>
        <v>0</v>
      </c>
      <c r="BH157" s="138">
        <f t="shared" si="17"/>
        <v>0</v>
      </c>
      <c r="BI157" s="138">
        <f t="shared" si="18"/>
        <v>0</v>
      </c>
      <c r="BJ157" s="15" t="s">
        <v>143</v>
      </c>
      <c r="BK157" s="138">
        <f t="shared" si="19"/>
        <v>2780</v>
      </c>
      <c r="BL157" s="15" t="s">
        <v>206</v>
      </c>
      <c r="BM157" s="137" t="s">
        <v>1625</v>
      </c>
    </row>
    <row r="158" spans="2:65" s="1" customFormat="1" ht="24.2" customHeight="1">
      <c r="B158" s="126"/>
      <c r="C158" s="127" t="s">
        <v>290</v>
      </c>
      <c r="D158" s="127" t="s">
        <v>144</v>
      </c>
      <c r="E158" s="128" t="s">
        <v>1624</v>
      </c>
      <c r="F158" s="129" t="s">
        <v>1623</v>
      </c>
      <c r="G158" s="130" t="s">
        <v>147</v>
      </c>
      <c r="H158" s="131">
        <v>7</v>
      </c>
      <c r="I158" s="132">
        <v>336</v>
      </c>
      <c r="J158" s="132">
        <f t="shared" si="10"/>
        <v>2352</v>
      </c>
      <c r="K158" s="129" t="s">
        <v>148</v>
      </c>
      <c r="L158" s="27"/>
      <c r="M158" s="133" t="s">
        <v>1</v>
      </c>
      <c r="N158" s="134" t="s">
        <v>39</v>
      </c>
      <c r="O158" s="135">
        <v>0.8</v>
      </c>
      <c r="P158" s="135">
        <f t="shared" si="11"/>
        <v>5.6000000000000005</v>
      </c>
      <c r="Q158" s="135">
        <v>0</v>
      </c>
      <c r="R158" s="135">
        <f t="shared" si="12"/>
        <v>0</v>
      </c>
      <c r="S158" s="135">
        <v>0</v>
      </c>
      <c r="T158" s="136">
        <f t="shared" si="13"/>
        <v>0</v>
      </c>
      <c r="AR158" s="137" t="s">
        <v>206</v>
      </c>
      <c r="AT158" s="137" t="s">
        <v>144</v>
      </c>
      <c r="AU158" s="137" t="s">
        <v>143</v>
      </c>
      <c r="AY158" s="15" t="s">
        <v>141</v>
      </c>
      <c r="BE158" s="138">
        <f t="shared" si="14"/>
        <v>0</v>
      </c>
      <c r="BF158" s="138">
        <f t="shared" si="15"/>
        <v>2352</v>
      </c>
      <c r="BG158" s="138">
        <f t="shared" si="16"/>
        <v>0</v>
      </c>
      <c r="BH158" s="138">
        <f t="shared" si="17"/>
        <v>0</v>
      </c>
      <c r="BI158" s="138">
        <f t="shared" si="18"/>
        <v>0</v>
      </c>
      <c r="BJ158" s="15" t="s">
        <v>143</v>
      </c>
      <c r="BK158" s="138">
        <f t="shared" si="19"/>
        <v>2352</v>
      </c>
      <c r="BL158" s="15" t="s">
        <v>206</v>
      </c>
      <c r="BM158" s="137" t="s">
        <v>1622</v>
      </c>
    </row>
    <row r="159" spans="2:65" s="1" customFormat="1" ht="37.9" customHeight="1">
      <c r="B159" s="126"/>
      <c r="C159" s="127" t="s">
        <v>294</v>
      </c>
      <c r="D159" s="127" t="s">
        <v>144</v>
      </c>
      <c r="E159" s="128" t="s">
        <v>1621</v>
      </c>
      <c r="F159" s="129" t="s">
        <v>1620</v>
      </c>
      <c r="G159" s="130" t="s">
        <v>147</v>
      </c>
      <c r="H159" s="131">
        <v>7</v>
      </c>
      <c r="I159" s="132">
        <v>210</v>
      </c>
      <c r="J159" s="132">
        <f t="shared" si="10"/>
        <v>1470</v>
      </c>
      <c r="K159" s="129" t="s">
        <v>148</v>
      </c>
      <c r="L159" s="27"/>
      <c r="M159" s="133" t="s">
        <v>1</v>
      </c>
      <c r="N159" s="134" t="s">
        <v>39</v>
      </c>
      <c r="O159" s="135">
        <v>0.5</v>
      </c>
      <c r="P159" s="135">
        <f t="shared" si="11"/>
        <v>3.5</v>
      </c>
      <c r="Q159" s="135">
        <v>0</v>
      </c>
      <c r="R159" s="135">
        <f t="shared" si="12"/>
        <v>0</v>
      </c>
      <c r="S159" s="135">
        <v>0</v>
      </c>
      <c r="T159" s="136">
        <f t="shared" si="13"/>
        <v>0</v>
      </c>
      <c r="AR159" s="137" t="s">
        <v>206</v>
      </c>
      <c r="AT159" s="137" t="s">
        <v>144</v>
      </c>
      <c r="AU159" s="137" t="s">
        <v>143</v>
      </c>
      <c r="AY159" s="15" t="s">
        <v>141</v>
      </c>
      <c r="BE159" s="138">
        <f t="shared" si="14"/>
        <v>0</v>
      </c>
      <c r="BF159" s="138">
        <f t="shared" si="15"/>
        <v>1470</v>
      </c>
      <c r="BG159" s="138">
        <f t="shared" si="16"/>
        <v>0</v>
      </c>
      <c r="BH159" s="138">
        <f t="shared" si="17"/>
        <v>0</v>
      </c>
      <c r="BI159" s="138">
        <f t="shared" si="18"/>
        <v>0</v>
      </c>
      <c r="BJ159" s="15" t="s">
        <v>143</v>
      </c>
      <c r="BK159" s="138">
        <f t="shared" si="19"/>
        <v>1470</v>
      </c>
      <c r="BL159" s="15" t="s">
        <v>206</v>
      </c>
      <c r="BM159" s="137" t="s">
        <v>1619</v>
      </c>
    </row>
    <row r="160" spans="2:65" s="1" customFormat="1" ht="24.2" customHeight="1">
      <c r="B160" s="126"/>
      <c r="C160" s="127" t="s">
        <v>298</v>
      </c>
      <c r="D160" s="127" t="s">
        <v>144</v>
      </c>
      <c r="E160" s="128" t="s">
        <v>1618</v>
      </c>
      <c r="F160" s="129" t="s">
        <v>1617</v>
      </c>
      <c r="G160" s="130" t="s">
        <v>147</v>
      </c>
      <c r="H160" s="131">
        <v>32</v>
      </c>
      <c r="I160" s="132">
        <v>64.400000000000006</v>
      </c>
      <c r="J160" s="132">
        <f t="shared" si="10"/>
        <v>2060.8000000000002</v>
      </c>
      <c r="K160" s="129" t="s">
        <v>148</v>
      </c>
      <c r="L160" s="27"/>
      <c r="M160" s="133" t="s">
        <v>1</v>
      </c>
      <c r="N160" s="134" t="s">
        <v>39</v>
      </c>
      <c r="O160" s="135">
        <v>0.11</v>
      </c>
      <c r="P160" s="135">
        <f t="shared" si="11"/>
        <v>3.52</v>
      </c>
      <c r="Q160" s="135">
        <v>0</v>
      </c>
      <c r="R160" s="135">
        <f t="shared" si="12"/>
        <v>0</v>
      </c>
      <c r="S160" s="135">
        <v>0</v>
      </c>
      <c r="T160" s="136">
        <f t="shared" si="13"/>
        <v>0</v>
      </c>
      <c r="AR160" s="137" t="s">
        <v>206</v>
      </c>
      <c r="AT160" s="137" t="s">
        <v>144</v>
      </c>
      <c r="AU160" s="137" t="s">
        <v>143</v>
      </c>
      <c r="AY160" s="15" t="s">
        <v>141</v>
      </c>
      <c r="BE160" s="138">
        <f t="shared" si="14"/>
        <v>0</v>
      </c>
      <c r="BF160" s="138">
        <f t="shared" si="15"/>
        <v>2060.8000000000002</v>
      </c>
      <c r="BG160" s="138">
        <f t="shared" si="16"/>
        <v>0</v>
      </c>
      <c r="BH160" s="138">
        <f t="shared" si="17"/>
        <v>0</v>
      </c>
      <c r="BI160" s="138">
        <f t="shared" si="18"/>
        <v>0</v>
      </c>
      <c r="BJ160" s="15" t="s">
        <v>143</v>
      </c>
      <c r="BK160" s="138">
        <f t="shared" si="19"/>
        <v>2060.8000000000002</v>
      </c>
      <c r="BL160" s="15" t="s">
        <v>206</v>
      </c>
      <c r="BM160" s="137" t="s">
        <v>1616</v>
      </c>
    </row>
    <row r="161" spans="2:65" s="1" customFormat="1" ht="33" customHeight="1">
      <c r="B161" s="126"/>
      <c r="C161" s="127" t="s">
        <v>302</v>
      </c>
      <c r="D161" s="127" t="s">
        <v>144</v>
      </c>
      <c r="E161" s="128" t="s">
        <v>1615</v>
      </c>
      <c r="F161" s="129" t="s">
        <v>1614</v>
      </c>
      <c r="G161" s="130" t="s">
        <v>147</v>
      </c>
      <c r="H161" s="131">
        <v>1</v>
      </c>
      <c r="I161" s="132">
        <v>857</v>
      </c>
      <c r="J161" s="132">
        <f t="shared" si="10"/>
        <v>857</v>
      </c>
      <c r="K161" s="129" t="s">
        <v>148</v>
      </c>
      <c r="L161" s="27"/>
      <c r="M161" s="133" t="s">
        <v>1</v>
      </c>
      <c r="N161" s="134" t="s">
        <v>39</v>
      </c>
      <c r="O161" s="135">
        <v>1.714</v>
      </c>
      <c r="P161" s="135">
        <f t="shared" si="11"/>
        <v>1.714</v>
      </c>
      <c r="Q161" s="135">
        <v>0</v>
      </c>
      <c r="R161" s="135">
        <f t="shared" si="12"/>
        <v>0</v>
      </c>
      <c r="S161" s="135">
        <v>0</v>
      </c>
      <c r="T161" s="136">
        <f t="shared" si="13"/>
        <v>0</v>
      </c>
      <c r="AR161" s="137" t="s">
        <v>206</v>
      </c>
      <c r="AT161" s="137" t="s">
        <v>144</v>
      </c>
      <c r="AU161" s="137" t="s">
        <v>143</v>
      </c>
      <c r="AY161" s="15" t="s">
        <v>141</v>
      </c>
      <c r="BE161" s="138">
        <f t="shared" si="14"/>
        <v>0</v>
      </c>
      <c r="BF161" s="138">
        <f t="shared" si="15"/>
        <v>857</v>
      </c>
      <c r="BG161" s="138">
        <f t="shared" si="16"/>
        <v>0</v>
      </c>
      <c r="BH161" s="138">
        <f t="shared" si="17"/>
        <v>0</v>
      </c>
      <c r="BI161" s="138">
        <f t="shared" si="18"/>
        <v>0</v>
      </c>
      <c r="BJ161" s="15" t="s">
        <v>143</v>
      </c>
      <c r="BK161" s="138">
        <f t="shared" si="19"/>
        <v>857</v>
      </c>
      <c r="BL161" s="15" t="s">
        <v>206</v>
      </c>
      <c r="BM161" s="137" t="s">
        <v>1613</v>
      </c>
    </row>
    <row r="162" spans="2:65" s="1" customFormat="1" ht="21.75" customHeight="1">
      <c r="B162" s="126"/>
      <c r="C162" s="139" t="s">
        <v>306</v>
      </c>
      <c r="D162" s="139" t="s">
        <v>207</v>
      </c>
      <c r="E162" s="140" t="s">
        <v>1612</v>
      </c>
      <c r="F162" s="141" t="s">
        <v>1611</v>
      </c>
      <c r="G162" s="142" t="s">
        <v>147</v>
      </c>
      <c r="H162" s="143">
        <v>1</v>
      </c>
      <c r="I162" s="144">
        <v>31500</v>
      </c>
      <c r="J162" s="144">
        <f t="shared" si="10"/>
        <v>31500</v>
      </c>
      <c r="K162" s="141" t="s">
        <v>148</v>
      </c>
      <c r="L162" s="145"/>
      <c r="M162" s="146" t="s">
        <v>1</v>
      </c>
      <c r="N162" s="147" t="s">
        <v>39</v>
      </c>
      <c r="O162" s="135">
        <v>0</v>
      </c>
      <c r="P162" s="135">
        <f t="shared" si="11"/>
        <v>0</v>
      </c>
      <c r="Q162" s="135">
        <v>2.9000000000000001E-2</v>
      </c>
      <c r="R162" s="135">
        <f t="shared" si="12"/>
        <v>2.9000000000000001E-2</v>
      </c>
      <c r="S162" s="135">
        <v>0</v>
      </c>
      <c r="T162" s="136">
        <f t="shared" si="13"/>
        <v>0</v>
      </c>
      <c r="AR162" s="137" t="s">
        <v>274</v>
      </c>
      <c r="AT162" s="137" t="s">
        <v>207</v>
      </c>
      <c r="AU162" s="137" t="s">
        <v>143</v>
      </c>
      <c r="AY162" s="15" t="s">
        <v>141</v>
      </c>
      <c r="BE162" s="138">
        <f t="shared" si="14"/>
        <v>0</v>
      </c>
      <c r="BF162" s="138">
        <f t="shared" si="15"/>
        <v>31500</v>
      </c>
      <c r="BG162" s="138">
        <f t="shared" si="16"/>
        <v>0</v>
      </c>
      <c r="BH162" s="138">
        <f t="shared" si="17"/>
        <v>0</v>
      </c>
      <c r="BI162" s="138">
        <f t="shared" si="18"/>
        <v>0</v>
      </c>
      <c r="BJ162" s="15" t="s">
        <v>143</v>
      </c>
      <c r="BK162" s="138">
        <f t="shared" si="19"/>
        <v>31500</v>
      </c>
      <c r="BL162" s="15" t="s">
        <v>206</v>
      </c>
      <c r="BM162" s="137" t="s">
        <v>1610</v>
      </c>
    </row>
    <row r="163" spans="2:65" s="1" customFormat="1" ht="24.2" customHeight="1">
      <c r="B163" s="126"/>
      <c r="C163" s="127" t="s">
        <v>310</v>
      </c>
      <c r="D163" s="127" t="s">
        <v>144</v>
      </c>
      <c r="E163" s="128" t="s">
        <v>1609</v>
      </c>
      <c r="F163" s="129" t="s">
        <v>1608</v>
      </c>
      <c r="G163" s="130" t="s">
        <v>147</v>
      </c>
      <c r="H163" s="131">
        <v>2</v>
      </c>
      <c r="I163" s="132">
        <v>4410</v>
      </c>
      <c r="J163" s="132">
        <f t="shared" si="10"/>
        <v>8820</v>
      </c>
      <c r="K163" s="129" t="s">
        <v>148</v>
      </c>
      <c r="L163" s="27"/>
      <c r="M163" s="133" t="s">
        <v>1</v>
      </c>
      <c r="N163" s="134" t="s">
        <v>39</v>
      </c>
      <c r="O163" s="135">
        <v>8.827</v>
      </c>
      <c r="P163" s="135">
        <f t="shared" si="11"/>
        <v>17.654</v>
      </c>
      <c r="Q163" s="135">
        <v>0</v>
      </c>
      <c r="R163" s="135">
        <f t="shared" si="12"/>
        <v>0</v>
      </c>
      <c r="S163" s="135">
        <v>0</v>
      </c>
      <c r="T163" s="136">
        <f t="shared" si="13"/>
        <v>0</v>
      </c>
      <c r="AR163" s="137" t="s">
        <v>206</v>
      </c>
      <c r="AT163" s="137" t="s">
        <v>144</v>
      </c>
      <c r="AU163" s="137" t="s">
        <v>143</v>
      </c>
      <c r="AY163" s="15" t="s">
        <v>141</v>
      </c>
      <c r="BE163" s="138">
        <f t="shared" si="14"/>
        <v>0</v>
      </c>
      <c r="BF163" s="138">
        <f t="shared" si="15"/>
        <v>8820</v>
      </c>
      <c r="BG163" s="138">
        <f t="shared" si="16"/>
        <v>0</v>
      </c>
      <c r="BH163" s="138">
        <f t="shared" si="17"/>
        <v>0</v>
      </c>
      <c r="BI163" s="138">
        <f t="shared" si="18"/>
        <v>0</v>
      </c>
      <c r="BJ163" s="15" t="s">
        <v>143</v>
      </c>
      <c r="BK163" s="138">
        <f t="shared" si="19"/>
        <v>8820</v>
      </c>
      <c r="BL163" s="15" t="s">
        <v>206</v>
      </c>
      <c r="BM163" s="137" t="s">
        <v>1607</v>
      </c>
    </row>
    <row r="164" spans="2:65" s="1" customFormat="1" ht="33" customHeight="1">
      <c r="B164" s="126"/>
      <c r="C164" s="139" t="s">
        <v>314</v>
      </c>
      <c r="D164" s="139" t="s">
        <v>207</v>
      </c>
      <c r="E164" s="140" t="s">
        <v>1606</v>
      </c>
      <c r="F164" s="141" t="s">
        <v>1605</v>
      </c>
      <c r="G164" s="142" t="s">
        <v>147</v>
      </c>
      <c r="H164" s="143">
        <v>2</v>
      </c>
      <c r="I164" s="144">
        <v>43400</v>
      </c>
      <c r="J164" s="144">
        <f t="shared" si="10"/>
        <v>86800</v>
      </c>
      <c r="K164" s="141" t="s">
        <v>148</v>
      </c>
      <c r="L164" s="145"/>
      <c r="M164" s="146" t="s">
        <v>1</v>
      </c>
      <c r="N164" s="147" t="s">
        <v>39</v>
      </c>
      <c r="O164" s="135">
        <v>0</v>
      </c>
      <c r="P164" s="135">
        <f t="shared" si="11"/>
        <v>0</v>
      </c>
      <c r="Q164" s="135">
        <v>0.05</v>
      </c>
      <c r="R164" s="135">
        <f t="shared" si="12"/>
        <v>0.1</v>
      </c>
      <c r="S164" s="135">
        <v>0</v>
      </c>
      <c r="T164" s="136">
        <f t="shared" si="13"/>
        <v>0</v>
      </c>
      <c r="AR164" s="137" t="s">
        <v>274</v>
      </c>
      <c r="AT164" s="137" t="s">
        <v>207</v>
      </c>
      <c r="AU164" s="137" t="s">
        <v>143</v>
      </c>
      <c r="AY164" s="15" t="s">
        <v>141</v>
      </c>
      <c r="BE164" s="138">
        <f t="shared" si="14"/>
        <v>0</v>
      </c>
      <c r="BF164" s="138">
        <f t="shared" si="15"/>
        <v>86800</v>
      </c>
      <c r="BG164" s="138">
        <f t="shared" si="16"/>
        <v>0</v>
      </c>
      <c r="BH164" s="138">
        <f t="shared" si="17"/>
        <v>0</v>
      </c>
      <c r="BI164" s="138">
        <f t="shared" si="18"/>
        <v>0</v>
      </c>
      <c r="BJ164" s="15" t="s">
        <v>143</v>
      </c>
      <c r="BK164" s="138">
        <f t="shared" si="19"/>
        <v>86800</v>
      </c>
      <c r="BL164" s="15" t="s">
        <v>206</v>
      </c>
      <c r="BM164" s="137" t="s">
        <v>1604</v>
      </c>
    </row>
    <row r="165" spans="2:65" s="1" customFormat="1" ht="24.2" customHeight="1">
      <c r="B165" s="126"/>
      <c r="C165" s="127" t="s">
        <v>318</v>
      </c>
      <c r="D165" s="127" t="s">
        <v>144</v>
      </c>
      <c r="E165" s="128" t="s">
        <v>1603</v>
      </c>
      <c r="F165" s="129" t="s">
        <v>1602</v>
      </c>
      <c r="G165" s="130" t="s">
        <v>193</v>
      </c>
      <c r="H165" s="131">
        <v>30</v>
      </c>
      <c r="I165" s="132">
        <v>205</v>
      </c>
      <c r="J165" s="132">
        <f t="shared" si="10"/>
        <v>6150</v>
      </c>
      <c r="K165" s="129" t="s">
        <v>148</v>
      </c>
      <c r="L165" s="27"/>
      <c r="M165" s="133" t="s">
        <v>1</v>
      </c>
      <c r="N165" s="134" t="s">
        <v>39</v>
      </c>
      <c r="O165" s="135">
        <v>0.41299999999999998</v>
      </c>
      <c r="P165" s="135">
        <f t="shared" si="11"/>
        <v>12.389999999999999</v>
      </c>
      <c r="Q165" s="135">
        <v>0</v>
      </c>
      <c r="R165" s="135">
        <f t="shared" si="12"/>
        <v>0</v>
      </c>
      <c r="S165" s="135">
        <v>0</v>
      </c>
      <c r="T165" s="136">
        <f t="shared" si="13"/>
        <v>0</v>
      </c>
      <c r="AR165" s="137" t="s">
        <v>206</v>
      </c>
      <c r="AT165" s="137" t="s">
        <v>144</v>
      </c>
      <c r="AU165" s="137" t="s">
        <v>143</v>
      </c>
      <c r="AY165" s="15" t="s">
        <v>141</v>
      </c>
      <c r="BE165" s="138">
        <f t="shared" si="14"/>
        <v>0</v>
      </c>
      <c r="BF165" s="138">
        <f t="shared" si="15"/>
        <v>6150</v>
      </c>
      <c r="BG165" s="138">
        <f t="shared" si="16"/>
        <v>0</v>
      </c>
      <c r="BH165" s="138">
        <f t="shared" si="17"/>
        <v>0</v>
      </c>
      <c r="BI165" s="138">
        <f t="shared" si="18"/>
        <v>0</v>
      </c>
      <c r="BJ165" s="15" t="s">
        <v>143</v>
      </c>
      <c r="BK165" s="138">
        <f t="shared" si="19"/>
        <v>6150</v>
      </c>
      <c r="BL165" s="15" t="s">
        <v>206</v>
      </c>
      <c r="BM165" s="137" t="s">
        <v>1601</v>
      </c>
    </row>
    <row r="166" spans="2:65" s="1" customFormat="1" ht="24.2" customHeight="1">
      <c r="B166" s="126"/>
      <c r="C166" s="139" t="s">
        <v>322</v>
      </c>
      <c r="D166" s="139" t="s">
        <v>207</v>
      </c>
      <c r="E166" s="140" t="s">
        <v>1600</v>
      </c>
      <c r="F166" s="141" t="s">
        <v>1599</v>
      </c>
      <c r="G166" s="142" t="s">
        <v>193</v>
      </c>
      <c r="H166" s="143">
        <v>30</v>
      </c>
      <c r="I166" s="144">
        <v>202</v>
      </c>
      <c r="J166" s="144">
        <f t="shared" si="10"/>
        <v>6060</v>
      </c>
      <c r="K166" s="141" t="s">
        <v>148</v>
      </c>
      <c r="L166" s="145"/>
      <c r="M166" s="146" t="s">
        <v>1</v>
      </c>
      <c r="N166" s="147" t="s">
        <v>39</v>
      </c>
      <c r="O166" s="135">
        <v>0</v>
      </c>
      <c r="P166" s="135">
        <f t="shared" si="11"/>
        <v>0</v>
      </c>
      <c r="Q166" s="135">
        <v>1E-3</v>
      </c>
      <c r="R166" s="135">
        <f t="shared" si="12"/>
        <v>0.03</v>
      </c>
      <c r="S166" s="135">
        <v>0</v>
      </c>
      <c r="T166" s="136">
        <f t="shared" si="13"/>
        <v>0</v>
      </c>
      <c r="AR166" s="137" t="s">
        <v>274</v>
      </c>
      <c r="AT166" s="137" t="s">
        <v>207</v>
      </c>
      <c r="AU166" s="137" t="s">
        <v>143</v>
      </c>
      <c r="AY166" s="15" t="s">
        <v>141</v>
      </c>
      <c r="BE166" s="138">
        <f t="shared" si="14"/>
        <v>0</v>
      </c>
      <c r="BF166" s="138">
        <f t="shared" si="15"/>
        <v>6060</v>
      </c>
      <c r="BG166" s="138">
        <f t="shared" si="16"/>
        <v>0</v>
      </c>
      <c r="BH166" s="138">
        <f t="shared" si="17"/>
        <v>0</v>
      </c>
      <c r="BI166" s="138">
        <f t="shared" si="18"/>
        <v>0</v>
      </c>
      <c r="BJ166" s="15" t="s">
        <v>143</v>
      </c>
      <c r="BK166" s="138">
        <f t="shared" si="19"/>
        <v>6060</v>
      </c>
      <c r="BL166" s="15" t="s">
        <v>206</v>
      </c>
      <c r="BM166" s="137" t="s">
        <v>1598</v>
      </c>
    </row>
    <row r="167" spans="2:65" s="12" customFormat="1">
      <c r="B167" s="148"/>
      <c r="D167" s="149" t="s">
        <v>363</v>
      </c>
      <c r="F167" s="150" t="s">
        <v>1597</v>
      </c>
      <c r="H167" s="151">
        <v>30</v>
      </c>
      <c r="L167" s="148"/>
      <c r="M167" s="152"/>
      <c r="T167" s="153"/>
      <c r="AT167" s="154" t="s">
        <v>363</v>
      </c>
      <c r="AU167" s="154" t="s">
        <v>143</v>
      </c>
      <c r="AV167" s="12" t="s">
        <v>143</v>
      </c>
      <c r="AW167" s="12" t="s">
        <v>3</v>
      </c>
      <c r="AX167" s="12" t="s">
        <v>81</v>
      </c>
      <c r="AY167" s="154" t="s">
        <v>141</v>
      </c>
    </row>
    <row r="168" spans="2:65" s="1" customFormat="1" ht="24.2" customHeight="1">
      <c r="B168" s="126"/>
      <c r="C168" s="127" t="s">
        <v>326</v>
      </c>
      <c r="D168" s="127" t="s">
        <v>144</v>
      </c>
      <c r="E168" s="128" t="s">
        <v>1596</v>
      </c>
      <c r="F168" s="129" t="s">
        <v>1595</v>
      </c>
      <c r="G168" s="130" t="s">
        <v>1247</v>
      </c>
      <c r="H168" s="131">
        <v>2</v>
      </c>
      <c r="I168" s="132">
        <v>585</v>
      </c>
      <c r="J168" s="132">
        <f t="shared" ref="J168:J178" si="20">ROUND(I168*H168,2)</f>
        <v>1170</v>
      </c>
      <c r="K168" s="129" t="s">
        <v>148</v>
      </c>
      <c r="L168" s="27"/>
      <c r="M168" s="133" t="s">
        <v>1</v>
      </c>
      <c r="N168" s="134" t="s">
        <v>39</v>
      </c>
      <c r="O168" s="135">
        <v>1</v>
      </c>
      <c r="P168" s="135">
        <f t="shared" ref="P168:P178" si="21">O168*H168</f>
        <v>2</v>
      </c>
      <c r="Q168" s="135">
        <v>0</v>
      </c>
      <c r="R168" s="135">
        <f t="shared" ref="R168:R178" si="22">Q168*H168</f>
        <v>0</v>
      </c>
      <c r="S168" s="135">
        <v>0</v>
      </c>
      <c r="T168" s="136">
        <f t="shared" ref="T168:T178" si="23">S168*H168</f>
        <v>0</v>
      </c>
      <c r="AR168" s="137" t="s">
        <v>206</v>
      </c>
      <c r="AT168" s="137" t="s">
        <v>144</v>
      </c>
      <c r="AU168" s="137" t="s">
        <v>143</v>
      </c>
      <c r="AY168" s="15" t="s">
        <v>141</v>
      </c>
      <c r="BE168" s="138">
        <f t="shared" ref="BE168:BE178" si="24">IF(N168="základní",J168,0)</f>
        <v>0</v>
      </c>
      <c r="BF168" s="138">
        <f t="shared" ref="BF168:BF178" si="25">IF(N168="snížená",J168,0)</f>
        <v>1170</v>
      </c>
      <c r="BG168" s="138">
        <f t="shared" ref="BG168:BG178" si="26">IF(N168="zákl. přenesená",J168,0)</f>
        <v>0</v>
      </c>
      <c r="BH168" s="138">
        <f t="shared" ref="BH168:BH178" si="27">IF(N168="sníž. přenesená",J168,0)</f>
        <v>0</v>
      </c>
      <c r="BI168" s="138">
        <f t="shared" ref="BI168:BI178" si="28">IF(N168="nulová",J168,0)</f>
        <v>0</v>
      </c>
      <c r="BJ168" s="15" t="s">
        <v>143</v>
      </c>
      <c r="BK168" s="138">
        <f t="shared" ref="BK168:BK178" si="29">ROUND(I168*H168,2)</f>
        <v>1170</v>
      </c>
      <c r="BL168" s="15" t="s">
        <v>206</v>
      </c>
      <c r="BM168" s="137" t="s">
        <v>1594</v>
      </c>
    </row>
    <row r="169" spans="2:65" s="1" customFormat="1" ht="16.5" customHeight="1">
      <c r="B169" s="126"/>
      <c r="C169" s="127" t="s">
        <v>1364</v>
      </c>
      <c r="D169" s="127" t="s">
        <v>144</v>
      </c>
      <c r="E169" s="128" t="s">
        <v>1593</v>
      </c>
      <c r="F169" s="129" t="s">
        <v>1592</v>
      </c>
      <c r="G169" s="130" t="s">
        <v>964</v>
      </c>
      <c r="H169" s="131">
        <v>10</v>
      </c>
      <c r="I169" s="132">
        <v>1240</v>
      </c>
      <c r="J169" s="132">
        <f t="shared" si="20"/>
        <v>12400</v>
      </c>
      <c r="K169" s="129" t="s">
        <v>148</v>
      </c>
      <c r="L169" s="27"/>
      <c r="M169" s="133" t="s">
        <v>1</v>
      </c>
      <c r="N169" s="134" t="s">
        <v>39</v>
      </c>
      <c r="O169" s="135">
        <v>2.12</v>
      </c>
      <c r="P169" s="135">
        <f t="shared" si="21"/>
        <v>21.200000000000003</v>
      </c>
      <c r="Q169" s="135">
        <v>0</v>
      </c>
      <c r="R169" s="135">
        <f t="shared" si="22"/>
        <v>0</v>
      </c>
      <c r="S169" s="135">
        <v>0</v>
      </c>
      <c r="T169" s="136">
        <f t="shared" si="23"/>
        <v>0</v>
      </c>
      <c r="AR169" s="137" t="s">
        <v>206</v>
      </c>
      <c r="AT169" s="137" t="s">
        <v>144</v>
      </c>
      <c r="AU169" s="137" t="s">
        <v>143</v>
      </c>
      <c r="AY169" s="15" t="s">
        <v>141</v>
      </c>
      <c r="BE169" s="138">
        <f t="shared" si="24"/>
        <v>0</v>
      </c>
      <c r="BF169" s="138">
        <f t="shared" si="25"/>
        <v>12400</v>
      </c>
      <c r="BG169" s="138">
        <f t="shared" si="26"/>
        <v>0</v>
      </c>
      <c r="BH169" s="138">
        <f t="shared" si="27"/>
        <v>0</v>
      </c>
      <c r="BI169" s="138">
        <f t="shared" si="28"/>
        <v>0</v>
      </c>
      <c r="BJ169" s="15" t="s">
        <v>143</v>
      </c>
      <c r="BK169" s="138">
        <f t="shared" si="29"/>
        <v>12400</v>
      </c>
      <c r="BL169" s="15" t="s">
        <v>206</v>
      </c>
      <c r="BM169" s="137" t="s">
        <v>1591</v>
      </c>
    </row>
    <row r="170" spans="2:65" s="1" customFormat="1" ht="16.5" customHeight="1">
      <c r="B170" s="126"/>
      <c r="C170" s="139" t="s">
        <v>1360</v>
      </c>
      <c r="D170" s="139" t="s">
        <v>207</v>
      </c>
      <c r="E170" s="140" t="s">
        <v>1590</v>
      </c>
      <c r="F170" s="141" t="s">
        <v>1589</v>
      </c>
      <c r="G170" s="142" t="s">
        <v>964</v>
      </c>
      <c r="H170" s="143">
        <v>10</v>
      </c>
      <c r="I170" s="144">
        <v>417</v>
      </c>
      <c r="J170" s="144">
        <f t="shared" si="20"/>
        <v>4170</v>
      </c>
      <c r="K170" s="141" t="s">
        <v>148</v>
      </c>
      <c r="L170" s="145"/>
      <c r="M170" s="146" t="s">
        <v>1</v>
      </c>
      <c r="N170" s="147" t="s">
        <v>39</v>
      </c>
      <c r="O170" s="135">
        <v>0</v>
      </c>
      <c r="P170" s="135">
        <f t="shared" si="21"/>
        <v>0</v>
      </c>
      <c r="Q170" s="135">
        <v>1E-3</v>
      </c>
      <c r="R170" s="135">
        <f t="shared" si="22"/>
        <v>0.01</v>
      </c>
      <c r="S170" s="135">
        <v>0</v>
      </c>
      <c r="T170" s="136">
        <f t="shared" si="23"/>
        <v>0</v>
      </c>
      <c r="AR170" s="137" t="s">
        <v>274</v>
      </c>
      <c r="AT170" s="137" t="s">
        <v>207</v>
      </c>
      <c r="AU170" s="137" t="s">
        <v>143</v>
      </c>
      <c r="AY170" s="15" t="s">
        <v>141</v>
      </c>
      <c r="BE170" s="138">
        <f t="shared" si="24"/>
        <v>0</v>
      </c>
      <c r="BF170" s="138">
        <f t="shared" si="25"/>
        <v>4170</v>
      </c>
      <c r="BG170" s="138">
        <f t="shared" si="26"/>
        <v>0</v>
      </c>
      <c r="BH170" s="138">
        <f t="shared" si="27"/>
        <v>0</v>
      </c>
      <c r="BI170" s="138">
        <f t="shared" si="28"/>
        <v>0</v>
      </c>
      <c r="BJ170" s="15" t="s">
        <v>143</v>
      </c>
      <c r="BK170" s="138">
        <f t="shared" si="29"/>
        <v>4170</v>
      </c>
      <c r="BL170" s="15" t="s">
        <v>206</v>
      </c>
      <c r="BM170" s="137" t="s">
        <v>1588</v>
      </c>
    </row>
    <row r="171" spans="2:65" s="1" customFormat="1" ht="21.75" customHeight="1">
      <c r="B171" s="126"/>
      <c r="C171" s="127" t="s">
        <v>1356</v>
      </c>
      <c r="D171" s="127" t="s">
        <v>144</v>
      </c>
      <c r="E171" s="128" t="s">
        <v>1587</v>
      </c>
      <c r="F171" s="129" t="s">
        <v>1586</v>
      </c>
      <c r="G171" s="130" t="s">
        <v>147</v>
      </c>
      <c r="H171" s="131">
        <v>2</v>
      </c>
      <c r="I171" s="132">
        <v>429</v>
      </c>
      <c r="J171" s="132">
        <f t="shared" si="20"/>
        <v>858</v>
      </c>
      <c r="K171" s="129" t="s">
        <v>1</v>
      </c>
      <c r="L171" s="27"/>
      <c r="M171" s="133" t="s">
        <v>1</v>
      </c>
      <c r="N171" s="134" t="s">
        <v>39</v>
      </c>
      <c r="O171" s="135">
        <v>2.12</v>
      </c>
      <c r="P171" s="135">
        <f t="shared" si="21"/>
        <v>4.24</v>
      </c>
      <c r="Q171" s="135">
        <v>0</v>
      </c>
      <c r="R171" s="135">
        <f t="shared" si="22"/>
        <v>0</v>
      </c>
      <c r="S171" s="135">
        <v>0</v>
      </c>
      <c r="T171" s="136">
        <f t="shared" si="23"/>
        <v>0</v>
      </c>
      <c r="AR171" s="137" t="s">
        <v>206</v>
      </c>
      <c r="AT171" s="137" t="s">
        <v>144</v>
      </c>
      <c r="AU171" s="137" t="s">
        <v>143</v>
      </c>
      <c r="AY171" s="15" t="s">
        <v>141</v>
      </c>
      <c r="BE171" s="138">
        <f t="shared" si="24"/>
        <v>0</v>
      </c>
      <c r="BF171" s="138">
        <f t="shared" si="25"/>
        <v>858</v>
      </c>
      <c r="BG171" s="138">
        <f t="shared" si="26"/>
        <v>0</v>
      </c>
      <c r="BH171" s="138">
        <f t="shared" si="27"/>
        <v>0</v>
      </c>
      <c r="BI171" s="138">
        <f t="shared" si="28"/>
        <v>0</v>
      </c>
      <c r="BJ171" s="15" t="s">
        <v>143</v>
      </c>
      <c r="BK171" s="138">
        <f t="shared" si="29"/>
        <v>858</v>
      </c>
      <c r="BL171" s="15" t="s">
        <v>206</v>
      </c>
      <c r="BM171" s="137" t="s">
        <v>1585</v>
      </c>
    </row>
    <row r="172" spans="2:65" s="1" customFormat="1" ht="16.5" customHeight="1">
      <c r="B172" s="126"/>
      <c r="C172" s="127" t="s">
        <v>331</v>
      </c>
      <c r="D172" s="127" t="s">
        <v>144</v>
      </c>
      <c r="E172" s="128" t="s">
        <v>1584</v>
      </c>
      <c r="F172" s="129" t="s">
        <v>1583</v>
      </c>
      <c r="G172" s="130" t="s">
        <v>147</v>
      </c>
      <c r="H172" s="131">
        <v>4</v>
      </c>
      <c r="I172" s="132">
        <v>1620</v>
      </c>
      <c r="J172" s="132">
        <f t="shared" si="20"/>
        <v>6480</v>
      </c>
      <c r="K172" s="129" t="s">
        <v>1</v>
      </c>
      <c r="L172" s="27"/>
      <c r="M172" s="133" t="s">
        <v>1</v>
      </c>
      <c r="N172" s="134" t="s">
        <v>39</v>
      </c>
      <c r="O172" s="135">
        <v>2.12</v>
      </c>
      <c r="P172" s="135">
        <f t="shared" si="21"/>
        <v>8.48</v>
      </c>
      <c r="Q172" s="135">
        <v>0</v>
      </c>
      <c r="R172" s="135">
        <f t="shared" si="22"/>
        <v>0</v>
      </c>
      <c r="S172" s="135">
        <v>0</v>
      </c>
      <c r="T172" s="136">
        <f t="shared" si="23"/>
        <v>0</v>
      </c>
      <c r="AR172" s="137" t="s">
        <v>206</v>
      </c>
      <c r="AT172" s="137" t="s">
        <v>144</v>
      </c>
      <c r="AU172" s="137" t="s">
        <v>143</v>
      </c>
      <c r="AY172" s="15" t="s">
        <v>141</v>
      </c>
      <c r="BE172" s="138">
        <f t="shared" si="24"/>
        <v>0</v>
      </c>
      <c r="BF172" s="138">
        <f t="shared" si="25"/>
        <v>6480</v>
      </c>
      <c r="BG172" s="138">
        <f t="shared" si="26"/>
        <v>0</v>
      </c>
      <c r="BH172" s="138">
        <f t="shared" si="27"/>
        <v>0</v>
      </c>
      <c r="BI172" s="138">
        <f t="shared" si="28"/>
        <v>0</v>
      </c>
      <c r="BJ172" s="15" t="s">
        <v>143</v>
      </c>
      <c r="BK172" s="138">
        <f t="shared" si="29"/>
        <v>6480</v>
      </c>
      <c r="BL172" s="15" t="s">
        <v>206</v>
      </c>
      <c r="BM172" s="137" t="s">
        <v>1582</v>
      </c>
    </row>
    <row r="173" spans="2:65" s="1" customFormat="1" ht="16.5" customHeight="1">
      <c r="B173" s="126"/>
      <c r="C173" s="127" t="s">
        <v>335</v>
      </c>
      <c r="D173" s="127" t="s">
        <v>144</v>
      </c>
      <c r="E173" s="128" t="s">
        <v>1581</v>
      </c>
      <c r="F173" s="129" t="s">
        <v>1580</v>
      </c>
      <c r="G173" s="130" t="s">
        <v>147</v>
      </c>
      <c r="H173" s="131">
        <v>4</v>
      </c>
      <c r="I173" s="132">
        <v>1435</v>
      </c>
      <c r="J173" s="132">
        <f t="shared" si="20"/>
        <v>5740</v>
      </c>
      <c r="K173" s="129" t="s">
        <v>1</v>
      </c>
      <c r="L173" s="27"/>
      <c r="M173" s="133" t="s">
        <v>1</v>
      </c>
      <c r="N173" s="134" t="s">
        <v>39</v>
      </c>
      <c r="O173" s="135">
        <v>2.12</v>
      </c>
      <c r="P173" s="135">
        <f t="shared" si="21"/>
        <v>8.48</v>
      </c>
      <c r="Q173" s="135">
        <v>0</v>
      </c>
      <c r="R173" s="135">
        <f t="shared" si="22"/>
        <v>0</v>
      </c>
      <c r="S173" s="135">
        <v>0</v>
      </c>
      <c r="T173" s="136">
        <f t="shared" si="23"/>
        <v>0</v>
      </c>
      <c r="AR173" s="137" t="s">
        <v>206</v>
      </c>
      <c r="AT173" s="137" t="s">
        <v>144</v>
      </c>
      <c r="AU173" s="137" t="s">
        <v>143</v>
      </c>
      <c r="AY173" s="15" t="s">
        <v>141</v>
      </c>
      <c r="BE173" s="138">
        <f t="shared" si="24"/>
        <v>0</v>
      </c>
      <c r="BF173" s="138">
        <f t="shared" si="25"/>
        <v>5740</v>
      </c>
      <c r="BG173" s="138">
        <f t="shared" si="26"/>
        <v>0</v>
      </c>
      <c r="BH173" s="138">
        <f t="shared" si="27"/>
        <v>0</v>
      </c>
      <c r="BI173" s="138">
        <f t="shared" si="28"/>
        <v>0</v>
      </c>
      <c r="BJ173" s="15" t="s">
        <v>143</v>
      </c>
      <c r="BK173" s="138">
        <f t="shared" si="29"/>
        <v>5740</v>
      </c>
      <c r="BL173" s="15" t="s">
        <v>206</v>
      </c>
      <c r="BM173" s="137" t="s">
        <v>1579</v>
      </c>
    </row>
    <row r="174" spans="2:65" s="1" customFormat="1" ht="16.5" customHeight="1">
      <c r="B174" s="126"/>
      <c r="C174" s="127" t="s">
        <v>339</v>
      </c>
      <c r="D174" s="127" t="s">
        <v>144</v>
      </c>
      <c r="E174" s="128" t="s">
        <v>1578</v>
      </c>
      <c r="F174" s="129" t="s">
        <v>1577</v>
      </c>
      <c r="G174" s="130" t="s">
        <v>147</v>
      </c>
      <c r="H174" s="131">
        <v>12</v>
      </c>
      <c r="I174" s="132">
        <v>1270</v>
      </c>
      <c r="J174" s="132">
        <f t="shared" si="20"/>
        <v>15240</v>
      </c>
      <c r="K174" s="129" t="s">
        <v>1</v>
      </c>
      <c r="L174" s="27"/>
      <c r="M174" s="133" t="s">
        <v>1</v>
      </c>
      <c r="N174" s="134" t="s">
        <v>39</v>
      </c>
      <c r="O174" s="135">
        <v>2.12</v>
      </c>
      <c r="P174" s="135">
        <f t="shared" si="21"/>
        <v>25.44</v>
      </c>
      <c r="Q174" s="135">
        <v>0</v>
      </c>
      <c r="R174" s="135">
        <f t="shared" si="22"/>
        <v>0</v>
      </c>
      <c r="S174" s="135">
        <v>0</v>
      </c>
      <c r="T174" s="136">
        <f t="shared" si="23"/>
        <v>0</v>
      </c>
      <c r="AR174" s="137" t="s">
        <v>206</v>
      </c>
      <c r="AT174" s="137" t="s">
        <v>144</v>
      </c>
      <c r="AU174" s="137" t="s">
        <v>143</v>
      </c>
      <c r="AY174" s="15" t="s">
        <v>141</v>
      </c>
      <c r="BE174" s="138">
        <f t="shared" si="24"/>
        <v>0</v>
      </c>
      <c r="BF174" s="138">
        <f t="shared" si="25"/>
        <v>15240</v>
      </c>
      <c r="BG174" s="138">
        <f t="shared" si="26"/>
        <v>0</v>
      </c>
      <c r="BH174" s="138">
        <f t="shared" si="27"/>
        <v>0</v>
      </c>
      <c r="BI174" s="138">
        <f t="shared" si="28"/>
        <v>0</v>
      </c>
      <c r="BJ174" s="15" t="s">
        <v>143</v>
      </c>
      <c r="BK174" s="138">
        <f t="shared" si="29"/>
        <v>15240</v>
      </c>
      <c r="BL174" s="15" t="s">
        <v>206</v>
      </c>
      <c r="BM174" s="137" t="s">
        <v>1576</v>
      </c>
    </row>
    <row r="175" spans="2:65" s="1" customFormat="1" ht="409.5">
      <c r="B175" s="126"/>
      <c r="C175" s="127" t="s">
        <v>347</v>
      </c>
      <c r="D175" s="127" t="s">
        <v>144</v>
      </c>
      <c r="E175" s="128" t="s">
        <v>1575</v>
      </c>
      <c r="F175" s="166" t="s">
        <v>1574</v>
      </c>
      <c r="G175" s="130" t="s">
        <v>1111</v>
      </c>
      <c r="H175" s="131">
        <v>1</v>
      </c>
      <c r="I175" s="132">
        <v>534000</v>
      </c>
      <c r="J175" s="132">
        <f t="shared" si="20"/>
        <v>534000</v>
      </c>
      <c r="K175" s="129" t="s">
        <v>1</v>
      </c>
      <c r="L175" s="27"/>
      <c r="M175" s="133" t="s">
        <v>1</v>
      </c>
      <c r="N175" s="134" t="s">
        <v>39</v>
      </c>
      <c r="O175" s="135">
        <v>2.12</v>
      </c>
      <c r="P175" s="135">
        <f t="shared" si="21"/>
        <v>2.12</v>
      </c>
      <c r="Q175" s="135">
        <v>0.15</v>
      </c>
      <c r="R175" s="135">
        <f t="shared" si="22"/>
        <v>0.15</v>
      </c>
      <c r="S175" s="135">
        <v>0</v>
      </c>
      <c r="T175" s="136">
        <f t="shared" si="23"/>
        <v>0</v>
      </c>
      <c r="AR175" s="137" t="s">
        <v>206</v>
      </c>
      <c r="AT175" s="137" t="s">
        <v>144</v>
      </c>
      <c r="AU175" s="137" t="s">
        <v>143</v>
      </c>
      <c r="AY175" s="15" t="s">
        <v>141</v>
      </c>
      <c r="BE175" s="138">
        <f t="shared" si="24"/>
        <v>0</v>
      </c>
      <c r="BF175" s="138">
        <f t="shared" si="25"/>
        <v>534000</v>
      </c>
      <c r="BG175" s="138">
        <f t="shared" si="26"/>
        <v>0</v>
      </c>
      <c r="BH175" s="138">
        <f t="shared" si="27"/>
        <v>0</v>
      </c>
      <c r="BI175" s="138">
        <f t="shared" si="28"/>
        <v>0</v>
      </c>
      <c r="BJ175" s="15" t="s">
        <v>143</v>
      </c>
      <c r="BK175" s="138">
        <f t="shared" si="29"/>
        <v>534000</v>
      </c>
      <c r="BL175" s="15" t="s">
        <v>206</v>
      </c>
      <c r="BM175" s="137" t="s">
        <v>1573</v>
      </c>
    </row>
    <row r="176" spans="2:65" s="1" customFormat="1" ht="16.5" customHeight="1">
      <c r="B176" s="126"/>
      <c r="C176" s="127" t="s">
        <v>343</v>
      </c>
      <c r="D176" s="127" t="s">
        <v>144</v>
      </c>
      <c r="E176" s="128" t="s">
        <v>1572</v>
      </c>
      <c r="F176" s="129" t="s">
        <v>1571</v>
      </c>
      <c r="G176" s="130" t="s">
        <v>147</v>
      </c>
      <c r="H176" s="131">
        <v>7</v>
      </c>
      <c r="I176" s="132">
        <v>2066</v>
      </c>
      <c r="J176" s="132">
        <f t="shared" si="20"/>
        <v>14462</v>
      </c>
      <c r="K176" s="129" t="s">
        <v>1</v>
      </c>
      <c r="L176" s="27"/>
      <c r="M176" s="133" t="s">
        <v>1</v>
      </c>
      <c r="N176" s="134" t="s">
        <v>39</v>
      </c>
      <c r="O176" s="135">
        <v>2.12</v>
      </c>
      <c r="P176" s="135">
        <f t="shared" si="21"/>
        <v>14.84</v>
      </c>
      <c r="Q176" s="135">
        <v>0</v>
      </c>
      <c r="R176" s="135">
        <f t="shared" si="22"/>
        <v>0</v>
      </c>
      <c r="S176" s="135">
        <v>0</v>
      </c>
      <c r="T176" s="136">
        <f t="shared" si="23"/>
        <v>0</v>
      </c>
      <c r="AR176" s="137" t="s">
        <v>206</v>
      </c>
      <c r="AT176" s="137" t="s">
        <v>144</v>
      </c>
      <c r="AU176" s="137" t="s">
        <v>143</v>
      </c>
      <c r="AY176" s="15" t="s">
        <v>141</v>
      </c>
      <c r="BE176" s="138">
        <f t="shared" si="24"/>
        <v>0</v>
      </c>
      <c r="BF176" s="138">
        <f t="shared" si="25"/>
        <v>14462</v>
      </c>
      <c r="BG176" s="138">
        <f t="shared" si="26"/>
        <v>0</v>
      </c>
      <c r="BH176" s="138">
        <f t="shared" si="27"/>
        <v>0</v>
      </c>
      <c r="BI176" s="138">
        <f t="shared" si="28"/>
        <v>0</v>
      </c>
      <c r="BJ176" s="15" t="s">
        <v>143</v>
      </c>
      <c r="BK176" s="138">
        <f t="shared" si="29"/>
        <v>14462</v>
      </c>
      <c r="BL176" s="15" t="s">
        <v>206</v>
      </c>
      <c r="BM176" s="137" t="s">
        <v>1570</v>
      </c>
    </row>
    <row r="177" spans="2:65" s="1" customFormat="1" ht="16.5" customHeight="1">
      <c r="B177" s="126"/>
      <c r="C177" s="127" t="s">
        <v>351</v>
      </c>
      <c r="D177" s="127" t="s">
        <v>144</v>
      </c>
      <c r="E177" s="128" t="s">
        <v>1569</v>
      </c>
      <c r="F177" s="129" t="s">
        <v>1568</v>
      </c>
      <c r="G177" s="130" t="s">
        <v>147</v>
      </c>
      <c r="H177" s="131">
        <v>1</v>
      </c>
      <c r="I177" s="132">
        <v>28800</v>
      </c>
      <c r="J177" s="132">
        <f t="shared" si="20"/>
        <v>28800</v>
      </c>
      <c r="K177" s="129" t="s">
        <v>1</v>
      </c>
      <c r="L177" s="27"/>
      <c r="M177" s="133" t="s">
        <v>1</v>
      </c>
      <c r="N177" s="134" t="s">
        <v>39</v>
      </c>
      <c r="O177" s="135">
        <v>2.12</v>
      </c>
      <c r="P177" s="135">
        <f t="shared" si="21"/>
        <v>2.12</v>
      </c>
      <c r="Q177" s="135">
        <v>0</v>
      </c>
      <c r="R177" s="135">
        <f t="shared" si="22"/>
        <v>0</v>
      </c>
      <c r="S177" s="135">
        <v>0</v>
      </c>
      <c r="T177" s="136">
        <f t="shared" si="23"/>
        <v>0</v>
      </c>
      <c r="AR177" s="137" t="s">
        <v>206</v>
      </c>
      <c r="AT177" s="137" t="s">
        <v>144</v>
      </c>
      <c r="AU177" s="137" t="s">
        <v>143</v>
      </c>
      <c r="AY177" s="15" t="s">
        <v>141</v>
      </c>
      <c r="BE177" s="138">
        <f t="shared" si="24"/>
        <v>0</v>
      </c>
      <c r="BF177" s="138">
        <f t="shared" si="25"/>
        <v>28800</v>
      </c>
      <c r="BG177" s="138">
        <f t="shared" si="26"/>
        <v>0</v>
      </c>
      <c r="BH177" s="138">
        <f t="shared" si="27"/>
        <v>0</v>
      </c>
      <c r="BI177" s="138">
        <f t="shared" si="28"/>
        <v>0</v>
      </c>
      <c r="BJ177" s="15" t="s">
        <v>143</v>
      </c>
      <c r="BK177" s="138">
        <f t="shared" si="29"/>
        <v>28800</v>
      </c>
      <c r="BL177" s="15" t="s">
        <v>206</v>
      </c>
      <c r="BM177" s="137" t="s">
        <v>1567</v>
      </c>
    </row>
    <row r="178" spans="2:65" s="1" customFormat="1" ht="49.15" customHeight="1">
      <c r="B178" s="126"/>
      <c r="C178" s="127" t="s">
        <v>355</v>
      </c>
      <c r="D178" s="127" t="s">
        <v>144</v>
      </c>
      <c r="E178" s="128" t="s">
        <v>1566</v>
      </c>
      <c r="F178" s="129" t="s">
        <v>1565</v>
      </c>
      <c r="G178" s="130" t="s">
        <v>179</v>
      </c>
      <c r="H178" s="131">
        <v>1.073</v>
      </c>
      <c r="I178" s="132">
        <v>4210</v>
      </c>
      <c r="J178" s="132">
        <f t="shared" si="20"/>
        <v>4517.33</v>
      </c>
      <c r="K178" s="129" t="s">
        <v>148</v>
      </c>
      <c r="L178" s="27"/>
      <c r="M178" s="133" t="s">
        <v>1</v>
      </c>
      <c r="N178" s="134" t="s">
        <v>39</v>
      </c>
      <c r="O178" s="135">
        <v>8.49</v>
      </c>
      <c r="P178" s="135">
        <f t="shared" si="21"/>
        <v>9.1097699999999993</v>
      </c>
      <c r="Q178" s="135">
        <v>0</v>
      </c>
      <c r="R178" s="135">
        <f t="shared" si="22"/>
        <v>0</v>
      </c>
      <c r="S178" s="135">
        <v>0</v>
      </c>
      <c r="T178" s="136">
        <f t="shared" si="23"/>
        <v>0</v>
      </c>
      <c r="AR178" s="137" t="s">
        <v>206</v>
      </c>
      <c r="AT178" s="137" t="s">
        <v>144</v>
      </c>
      <c r="AU178" s="137" t="s">
        <v>143</v>
      </c>
      <c r="AY178" s="15" t="s">
        <v>141</v>
      </c>
      <c r="BE178" s="138">
        <f t="shared" si="24"/>
        <v>0</v>
      </c>
      <c r="BF178" s="138">
        <f t="shared" si="25"/>
        <v>4517.33</v>
      </c>
      <c r="BG178" s="138">
        <f t="shared" si="26"/>
        <v>0</v>
      </c>
      <c r="BH178" s="138">
        <f t="shared" si="27"/>
        <v>0</v>
      </c>
      <c r="BI178" s="138">
        <f t="shared" si="28"/>
        <v>0</v>
      </c>
      <c r="BJ178" s="15" t="s">
        <v>143</v>
      </c>
      <c r="BK178" s="138">
        <f t="shared" si="29"/>
        <v>4517.33</v>
      </c>
      <c r="BL178" s="15" t="s">
        <v>206</v>
      </c>
      <c r="BM178" s="137" t="s">
        <v>1564</v>
      </c>
    </row>
    <row r="179" spans="2:65" s="11" customFormat="1" ht="25.9" customHeight="1">
      <c r="B179" s="115"/>
      <c r="D179" s="116" t="s">
        <v>72</v>
      </c>
      <c r="E179" s="117" t="s">
        <v>1251</v>
      </c>
      <c r="F179" s="117" t="s">
        <v>1250</v>
      </c>
      <c r="J179" s="118">
        <f>BK179</f>
        <v>22450</v>
      </c>
      <c r="L179" s="115"/>
      <c r="M179" s="119"/>
      <c r="P179" s="120">
        <f>P180</f>
        <v>50</v>
      </c>
      <c r="R179" s="120">
        <f>R180</f>
        <v>0</v>
      </c>
      <c r="T179" s="121">
        <f>T180</f>
        <v>0</v>
      </c>
      <c r="AR179" s="116" t="s">
        <v>149</v>
      </c>
      <c r="AT179" s="122" t="s">
        <v>72</v>
      </c>
      <c r="AU179" s="122" t="s">
        <v>73</v>
      </c>
      <c r="AY179" s="116" t="s">
        <v>141</v>
      </c>
      <c r="BK179" s="123">
        <f>BK180</f>
        <v>22450</v>
      </c>
    </row>
    <row r="180" spans="2:65" s="1" customFormat="1" ht="37.9" customHeight="1">
      <c r="B180" s="126"/>
      <c r="C180" s="127" t="s">
        <v>359</v>
      </c>
      <c r="D180" s="127" t="s">
        <v>144</v>
      </c>
      <c r="E180" s="128" t="s">
        <v>1563</v>
      </c>
      <c r="F180" s="129" t="s">
        <v>1562</v>
      </c>
      <c r="G180" s="130" t="s">
        <v>1247</v>
      </c>
      <c r="H180" s="131">
        <v>50</v>
      </c>
      <c r="I180" s="132">
        <v>449</v>
      </c>
      <c r="J180" s="132">
        <f>ROUND(I180*H180,2)</f>
        <v>22450</v>
      </c>
      <c r="K180" s="129" t="s">
        <v>148</v>
      </c>
      <c r="L180" s="27"/>
      <c r="M180" s="155" t="s">
        <v>1</v>
      </c>
      <c r="N180" s="156" t="s">
        <v>39</v>
      </c>
      <c r="O180" s="157">
        <v>1</v>
      </c>
      <c r="P180" s="157">
        <f>O180*H180</f>
        <v>50</v>
      </c>
      <c r="Q180" s="157">
        <v>0</v>
      </c>
      <c r="R180" s="157">
        <f>Q180*H180</f>
        <v>0</v>
      </c>
      <c r="S180" s="157">
        <v>0</v>
      </c>
      <c r="T180" s="158">
        <f>S180*H180</f>
        <v>0</v>
      </c>
      <c r="AR180" s="137" t="s">
        <v>1246</v>
      </c>
      <c r="AT180" s="137" t="s">
        <v>144</v>
      </c>
      <c r="AU180" s="137" t="s">
        <v>81</v>
      </c>
      <c r="AY180" s="15" t="s">
        <v>141</v>
      </c>
      <c r="BE180" s="138">
        <f>IF(N180="základní",J180,0)</f>
        <v>0</v>
      </c>
      <c r="BF180" s="138">
        <f>IF(N180="snížená",J180,0)</f>
        <v>22450</v>
      </c>
      <c r="BG180" s="138">
        <f>IF(N180="zákl. přenesená",J180,0)</f>
        <v>0</v>
      </c>
      <c r="BH180" s="138">
        <f>IF(N180="sníž. přenesená",J180,0)</f>
        <v>0</v>
      </c>
      <c r="BI180" s="138">
        <f>IF(N180="nulová",J180,0)</f>
        <v>0</v>
      </c>
      <c r="BJ180" s="15" t="s">
        <v>143</v>
      </c>
      <c r="BK180" s="138">
        <f>ROUND(I180*H180,2)</f>
        <v>22450</v>
      </c>
      <c r="BL180" s="15" t="s">
        <v>1246</v>
      </c>
      <c r="BM180" s="137" t="s">
        <v>1561</v>
      </c>
    </row>
    <row r="181" spans="2:65" s="1" customFormat="1" ht="6.95" customHeight="1">
      <c r="B181" s="39"/>
      <c r="C181" s="40"/>
      <c r="D181" s="40"/>
      <c r="E181" s="40"/>
      <c r="F181" s="40"/>
      <c r="G181" s="40"/>
      <c r="H181" s="40"/>
      <c r="I181" s="40"/>
      <c r="J181" s="40"/>
      <c r="K181" s="40"/>
      <c r="L181" s="27"/>
    </row>
  </sheetData>
  <autoFilter ref="C118:K180" xr:uid="{00000000-0009-0000-0000-000003000000}"/>
  <mergeCells count="9">
    <mergeCell ref="E87:H87"/>
    <mergeCell ref="E109:H109"/>
    <mergeCell ref="E111:H11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0F35D1-4010-4701-9D54-41C00B795723}">
  <dimension ref="A1:P519"/>
  <sheetViews>
    <sheetView showGridLines="0" view="pageBreakPreview" topLeftCell="A504" zoomScale="150" zoomScaleNormal="150" zoomScaleSheetLayoutView="150" zoomScalePageLayoutView="130" workbookViewId="0">
      <selection activeCell="D510" sqref="D510"/>
    </sheetView>
  </sheetViews>
  <sheetFormatPr defaultRowHeight="12.75"/>
  <cols>
    <col min="1" max="1" width="2.83203125" style="173" customWidth="1"/>
    <col min="2" max="2" width="52.1640625" style="173" customWidth="1"/>
    <col min="3" max="3" width="3.5" style="173" customWidth="1"/>
    <col min="4" max="4" width="8.6640625" style="173" customWidth="1"/>
    <col min="5" max="5" width="11.33203125" style="173" customWidth="1"/>
    <col min="6" max="6" width="11.5" style="173" customWidth="1"/>
    <col min="7" max="8" width="11.33203125" style="173" customWidth="1"/>
    <col min="9" max="9" width="11.6640625" style="173" hidden="1" customWidth="1"/>
    <col min="10" max="16" width="0" style="173" hidden="1" customWidth="1"/>
    <col min="17" max="16384" width="9.33203125" style="173"/>
  </cols>
  <sheetData>
    <row r="1" spans="1:16">
      <c r="A1" s="211"/>
      <c r="B1" s="227" t="s">
        <v>2453</v>
      </c>
      <c r="C1" s="210"/>
      <c r="D1" s="210"/>
      <c r="E1" s="299" t="s">
        <v>2173</v>
      </c>
      <c r="F1" s="299"/>
      <c r="G1" s="299" t="s">
        <v>2172</v>
      </c>
      <c r="H1" s="299"/>
      <c r="I1" s="225">
        <v>2.1</v>
      </c>
      <c r="J1" s="225">
        <v>5.3</v>
      </c>
    </row>
    <row r="2" spans="1:16">
      <c r="A2" s="209" t="s">
        <v>2171</v>
      </c>
      <c r="B2" s="226" t="s">
        <v>2170</v>
      </c>
      <c r="C2" s="207" t="s">
        <v>2185</v>
      </c>
      <c r="D2" s="206" t="s">
        <v>2184</v>
      </c>
      <c r="E2" s="207" t="s">
        <v>2183</v>
      </c>
      <c r="F2" s="206" t="s">
        <v>2169</v>
      </c>
      <c r="G2" s="207" t="s">
        <v>2183</v>
      </c>
      <c r="H2" s="206" t="s">
        <v>2169</v>
      </c>
      <c r="I2" s="178" t="s">
        <v>2173</v>
      </c>
      <c r="J2" s="178" t="s">
        <v>2172</v>
      </c>
    </row>
    <row r="3" spans="1:16">
      <c r="A3" s="205">
        <v>1</v>
      </c>
      <c r="B3" s="230" t="s">
        <v>2452</v>
      </c>
      <c r="C3" s="222" t="s">
        <v>450</v>
      </c>
      <c r="D3" s="221">
        <v>10</v>
      </c>
      <c r="E3" s="218">
        <f>ROUND($I$1*I3,1)</f>
        <v>182.5</v>
      </c>
      <c r="F3" s="217">
        <f>PRODUCT(D3,E3)</f>
        <v>1825</v>
      </c>
      <c r="G3" s="218">
        <f>ROUND($J$1*J3,1)</f>
        <v>182.9</v>
      </c>
      <c r="H3" s="217">
        <f>PRODUCT(D3,G3)</f>
        <v>1829</v>
      </c>
      <c r="I3" s="215">
        <v>86.9</v>
      </c>
      <c r="J3" s="215">
        <v>34.5</v>
      </c>
      <c r="P3" s="221">
        <v>20</v>
      </c>
    </row>
    <row r="4" spans="1:16">
      <c r="A4" s="205">
        <f>(SUM(A3,1))</f>
        <v>2</v>
      </c>
      <c r="B4" s="230" t="s">
        <v>2215</v>
      </c>
      <c r="C4" s="222" t="s">
        <v>450</v>
      </c>
      <c r="D4" s="221">
        <v>600</v>
      </c>
      <c r="E4" s="218">
        <f>ROUND($I$1*I4,1)</f>
        <v>17.2</v>
      </c>
      <c r="F4" s="217">
        <f>PRODUCT(D4,E4)</f>
        <v>10320</v>
      </c>
      <c r="G4" s="218">
        <f>ROUND($J$1*J4,1)</f>
        <v>24.6</v>
      </c>
      <c r="H4" s="217">
        <f>PRODUCT(D4,G4)</f>
        <v>14760</v>
      </c>
      <c r="I4" s="216">
        <v>8.1999999999999993</v>
      </c>
      <c r="J4" s="215">
        <v>4.6500000000000004</v>
      </c>
      <c r="P4" s="221">
        <v>1100</v>
      </c>
    </row>
    <row r="5" spans="1:16">
      <c r="A5" s="205">
        <f>(SUM(A4,1))</f>
        <v>3</v>
      </c>
      <c r="B5" s="230" t="s">
        <v>2451</v>
      </c>
      <c r="C5" s="222" t="s">
        <v>450</v>
      </c>
      <c r="D5" s="221">
        <v>120</v>
      </c>
      <c r="E5" s="218">
        <f>ROUND($I$1*I5,1)</f>
        <v>35.700000000000003</v>
      </c>
      <c r="F5" s="217">
        <f>PRODUCT(D5,E5)</f>
        <v>4284</v>
      </c>
      <c r="G5" s="218">
        <f>ROUND($J$1*J5,1)</f>
        <v>24.6</v>
      </c>
      <c r="H5" s="217">
        <f>PRODUCT(D5,G5)</f>
        <v>2952</v>
      </c>
      <c r="I5" s="216">
        <v>17</v>
      </c>
      <c r="J5" s="215">
        <v>4.6500000000000004</v>
      </c>
      <c r="P5" s="221">
        <v>250</v>
      </c>
    </row>
    <row r="6" spans="1:16">
      <c r="A6" s="205">
        <f>(SUM(A5,1))</f>
        <v>4</v>
      </c>
      <c r="B6" s="230" t="s">
        <v>2450</v>
      </c>
      <c r="C6" s="222" t="s">
        <v>450</v>
      </c>
      <c r="D6" s="221">
        <v>70</v>
      </c>
      <c r="E6" s="218">
        <f>ROUND($I$1*I6,1)</f>
        <v>16.2</v>
      </c>
      <c r="F6" s="217">
        <f>PRODUCT(D6,E6)</f>
        <v>1134</v>
      </c>
      <c r="G6" s="218">
        <f>ROUND($J$1*J6,1)</f>
        <v>51.4</v>
      </c>
      <c r="H6" s="217">
        <f>PRODUCT(D6,G6)</f>
        <v>3598</v>
      </c>
      <c r="I6" s="216">
        <v>7.7</v>
      </c>
      <c r="J6" s="215">
        <v>9.6999999999999993</v>
      </c>
      <c r="P6" s="221">
        <v>150</v>
      </c>
    </row>
    <row r="7" spans="1:16">
      <c r="A7" s="205">
        <f>(SUM(A6,1))</f>
        <v>5</v>
      </c>
      <c r="B7" s="230" t="s">
        <v>2449</v>
      </c>
      <c r="C7" s="222" t="s">
        <v>450</v>
      </c>
      <c r="D7" s="221">
        <v>80</v>
      </c>
      <c r="E7" s="218">
        <f>ROUND($I$1*I7,1)</f>
        <v>36.5</v>
      </c>
      <c r="F7" s="217">
        <f>PRODUCT(D7,E7)</f>
        <v>2920</v>
      </c>
      <c r="G7" s="218">
        <f>ROUND($J$1*J7,1)</f>
        <v>54.6</v>
      </c>
      <c r="H7" s="217">
        <f>PRODUCT(D7,G7)</f>
        <v>4368</v>
      </c>
      <c r="I7" s="216">
        <v>17.399999999999999</v>
      </c>
      <c r="J7" s="215">
        <v>10.3</v>
      </c>
      <c r="P7" s="221">
        <v>150</v>
      </c>
    </row>
    <row r="8" spans="1:16">
      <c r="A8" s="205">
        <f>(SUM(A7,1))</f>
        <v>6</v>
      </c>
      <c r="B8" s="230" t="s">
        <v>2249</v>
      </c>
      <c r="C8" s="222" t="s">
        <v>450</v>
      </c>
      <c r="D8" s="221">
        <v>5</v>
      </c>
      <c r="E8" s="218">
        <f>ROUND($I$1*I8,1)</f>
        <v>219.9</v>
      </c>
      <c r="F8" s="217">
        <f>PRODUCT(D8,E8)</f>
        <v>1099.5</v>
      </c>
      <c r="G8" s="218">
        <f>ROUND($J$1*J8,1)</f>
        <v>113.4</v>
      </c>
      <c r="H8" s="217">
        <f>PRODUCT(D8,G8)</f>
        <v>567</v>
      </c>
      <c r="I8" s="216">
        <v>104.7</v>
      </c>
      <c r="J8" s="215">
        <v>21.4</v>
      </c>
      <c r="P8" s="221">
        <v>10</v>
      </c>
    </row>
    <row r="9" spans="1:16">
      <c r="A9" s="205">
        <f>(SUM(A8,1))</f>
        <v>7</v>
      </c>
      <c r="B9" s="230" t="s">
        <v>2448</v>
      </c>
      <c r="C9" s="222" t="s">
        <v>450</v>
      </c>
      <c r="D9" s="221">
        <v>30</v>
      </c>
      <c r="E9" s="218">
        <f>ROUND($I$1*I9,1)</f>
        <v>814.8</v>
      </c>
      <c r="F9" s="217">
        <f>PRODUCT(D9,E9)</f>
        <v>24444</v>
      </c>
      <c r="G9" s="218">
        <f>ROUND($J$1*J9,1)</f>
        <v>106</v>
      </c>
      <c r="H9" s="217">
        <f>PRODUCT(D9,G9)</f>
        <v>3180</v>
      </c>
      <c r="I9" s="215">
        <v>388</v>
      </c>
      <c r="J9" s="215">
        <v>20</v>
      </c>
      <c r="P9" s="221">
        <v>60</v>
      </c>
    </row>
    <row r="10" spans="1:16">
      <c r="A10" s="205">
        <f>(SUM(A9,1))</f>
        <v>8</v>
      </c>
      <c r="B10" s="230" t="s">
        <v>2447</v>
      </c>
      <c r="C10" s="222" t="s">
        <v>450</v>
      </c>
      <c r="D10" s="221">
        <v>1</v>
      </c>
      <c r="E10" s="218">
        <f>ROUND($I$1*I10,1)</f>
        <v>1890</v>
      </c>
      <c r="F10" s="217">
        <f>PRODUCT(D10,E10)</f>
        <v>1890</v>
      </c>
      <c r="G10" s="218">
        <f>ROUND($J$1*J10,1)</f>
        <v>212</v>
      </c>
      <c r="H10" s="217">
        <f>PRODUCT(D10,G10)</f>
        <v>212</v>
      </c>
      <c r="I10" s="215">
        <v>900</v>
      </c>
      <c r="J10" s="215">
        <v>40</v>
      </c>
      <c r="P10" s="221">
        <v>1</v>
      </c>
    </row>
    <row r="11" spans="1:16">
      <c r="A11" s="205">
        <f>(SUM(A10,1))</f>
        <v>9</v>
      </c>
      <c r="B11" s="223" t="s">
        <v>2217</v>
      </c>
      <c r="C11" s="222" t="s">
        <v>193</v>
      </c>
      <c r="D11" s="221">
        <v>40</v>
      </c>
      <c r="E11" s="218">
        <f>ROUND($I$1*I11,1)</f>
        <v>17.899999999999999</v>
      </c>
      <c r="F11" s="217">
        <f>PRODUCT(D11,E11)</f>
        <v>716</v>
      </c>
      <c r="G11" s="218">
        <f>ROUND($J$1*J11,1)</f>
        <v>22.3</v>
      </c>
      <c r="H11" s="217">
        <f>PRODUCT(D11,G11)</f>
        <v>892</v>
      </c>
      <c r="I11" s="215">
        <v>8.5</v>
      </c>
      <c r="J11" s="215">
        <v>4.2</v>
      </c>
      <c r="P11" s="221">
        <v>80</v>
      </c>
    </row>
    <row r="12" spans="1:16">
      <c r="A12" s="205">
        <f>(SUM(A11,1))</f>
        <v>10</v>
      </c>
      <c r="B12" s="223" t="s">
        <v>2446</v>
      </c>
      <c r="C12" s="222" t="s">
        <v>193</v>
      </c>
      <c r="D12" s="221">
        <v>20</v>
      </c>
      <c r="E12" s="218">
        <f>ROUND($I$1*I12,1)</f>
        <v>28.4</v>
      </c>
      <c r="F12" s="217">
        <f>PRODUCT(D12,E12)</f>
        <v>568</v>
      </c>
      <c r="G12" s="218">
        <f>ROUND($J$1*J12,1)</f>
        <v>21.7</v>
      </c>
      <c r="H12" s="217">
        <f>PRODUCT(D12,G12)</f>
        <v>434</v>
      </c>
      <c r="I12" s="215">
        <v>13.5</v>
      </c>
      <c r="J12" s="215">
        <v>4.0999999999999996</v>
      </c>
    </row>
    <row r="13" spans="1:16">
      <c r="A13" s="205">
        <f>(SUM(A12,1))</f>
        <v>11</v>
      </c>
      <c r="B13" s="223" t="s">
        <v>2445</v>
      </c>
      <c r="C13" s="222" t="s">
        <v>193</v>
      </c>
      <c r="D13" s="221">
        <v>10</v>
      </c>
      <c r="E13" s="218">
        <f>ROUND($I$1*I13,1)</f>
        <v>38.200000000000003</v>
      </c>
      <c r="F13" s="217">
        <f>PRODUCT(D13,E13)</f>
        <v>382</v>
      </c>
      <c r="G13" s="218">
        <f>ROUND($J$1*J13,1)</f>
        <v>22.3</v>
      </c>
      <c r="H13" s="217">
        <f>PRODUCT(D13,G13)</f>
        <v>223</v>
      </c>
      <c r="I13" s="215">
        <v>18.2</v>
      </c>
      <c r="J13" s="215">
        <v>4.2</v>
      </c>
    </row>
    <row r="14" spans="1:16">
      <c r="A14" s="205">
        <f>(SUM(A13,1))</f>
        <v>12</v>
      </c>
      <c r="B14" s="223" t="s">
        <v>2444</v>
      </c>
      <c r="C14" s="222" t="s">
        <v>193</v>
      </c>
      <c r="D14" s="221">
        <v>10</v>
      </c>
      <c r="E14" s="218">
        <f>ROUND($I$1*I14,1)</f>
        <v>56.5</v>
      </c>
      <c r="F14" s="217">
        <f>PRODUCT(D14,E14)</f>
        <v>565</v>
      </c>
      <c r="G14" s="218">
        <f>ROUND($J$1*J14,1)</f>
        <v>22.3</v>
      </c>
      <c r="H14" s="217">
        <f>PRODUCT(D14,G14)</f>
        <v>223</v>
      </c>
      <c r="I14" s="215">
        <v>26.9</v>
      </c>
      <c r="J14" s="215">
        <v>4.2</v>
      </c>
    </row>
    <row r="15" spans="1:16">
      <c r="A15" s="205">
        <f>(SUM(A14,1))</f>
        <v>13</v>
      </c>
      <c r="B15" s="223" t="s">
        <v>2443</v>
      </c>
      <c r="C15" s="222" t="s">
        <v>193</v>
      </c>
      <c r="D15" s="221">
        <v>20</v>
      </c>
      <c r="E15" s="218">
        <f>ROUND($I$1*I15,1)</f>
        <v>85.7</v>
      </c>
      <c r="F15" s="217">
        <f>PRODUCT(D15,E15)</f>
        <v>1714</v>
      </c>
      <c r="G15" s="218">
        <f>ROUND($J$1*J15,1)</f>
        <v>22.3</v>
      </c>
      <c r="H15" s="217">
        <f>PRODUCT(D15,G15)</f>
        <v>446</v>
      </c>
      <c r="I15" s="215">
        <v>40.799999999999997</v>
      </c>
      <c r="J15" s="215">
        <v>4.2</v>
      </c>
    </row>
    <row r="16" spans="1:16">
      <c r="A16" s="205">
        <f>(SUM(A15,1))</f>
        <v>14</v>
      </c>
      <c r="B16" s="223" t="s">
        <v>2442</v>
      </c>
      <c r="C16" s="222" t="s">
        <v>193</v>
      </c>
      <c r="D16" s="221">
        <v>10</v>
      </c>
      <c r="E16" s="218">
        <f>ROUND($I$1*I16,1)</f>
        <v>72.5</v>
      </c>
      <c r="F16" s="217">
        <f>PRODUCT(D16,E16)</f>
        <v>725</v>
      </c>
      <c r="G16" s="218">
        <f>ROUND($J$1*J16,1)</f>
        <v>21.7</v>
      </c>
      <c r="H16" s="217">
        <f>PRODUCT(D16,G16)</f>
        <v>217</v>
      </c>
      <c r="I16" s="215">
        <v>34.5</v>
      </c>
      <c r="J16" s="215">
        <v>4.0999999999999996</v>
      </c>
    </row>
    <row r="17" spans="1:16">
      <c r="A17" s="205">
        <f>(SUM(A16,1))</f>
        <v>15</v>
      </c>
      <c r="B17" s="223" t="s">
        <v>2441</v>
      </c>
      <c r="C17" s="222" t="s">
        <v>193</v>
      </c>
      <c r="D17" s="221">
        <v>20</v>
      </c>
      <c r="E17" s="218">
        <f>ROUND($I$1*I17,1)</f>
        <v>103.1</v>
      </c>
      <c r="F17" s="217">
        <f>PRODUCT(D17,E17)</f>
        <v>2062</v>
      </c>
      <c r="G17" s="218">
        <f>ROUND($J$1*J17,1)</f>
        <v>21.7</v>
      </c>
      <c r="H17" s="217">
        <f>PRODUCT(D17,G17)</f>
        <v>434</v>
      </c>
      <c r="I17" s="215">
        <v>49.1</v>
      </c>
      <c r="J17" s="215">
        <v>4.0999999999999996</v>
      </c>
    </row>
    <row r="18" spans="1:16">
      <c r="A18" s="205">
        <f>(SUM(A17,1))</f>
        <v>16</v>
      </c>
      <c r="B18" s="223" t="s">
        <v>2440</v>
      </c>
      <c r="C18" s="222" t="s">
        <v>193</v>
      </c>
      <c r="D18" s="221">
        <v>20</v>
      </c>
      <c r="E18" s="218">
        <f>ROUND($I$1*I18,1)</f>
        <v>116.1</v>
      </c>
      <c r="F18" s="217">
        <f>PRODUCT(D18,E18)</f>
        <v>2322</v>
      </c>
      <c r="G18" s="218">
        <f>ROUND($J$1*J18,1)</f>
        <v>21.7</v>
      </c>
      <c r="H18" s="217">
        <f>PRODUCT(D18,G18)</f>
        <v>434</v>
      </c>
      <c r="I18" s="215">
        <v>55.3</v>
      </c>
      <c r="J18" s="215">
        <v>4.0999999999999996</v>
      </c>
    </row>
    <row r="19" spans="1:16">
      <c r="A19" s="205">
        <f>(SUM(A18,1))</f>
        <v>17</v>
      </c>
      <c r="B19" s="223" t="s">
        <v>2439</v>
      </c>
      <c r="C19" s="222" t="s">
        <v>193</v>
      </c>
      <c r="D19" s="221">
        <v>30</v>
      </c>
      <c r="E19" s="218">
        <f>ROUND($I$1*I19,1)</f>
        <v>141.1</v>
      </c>
      <c r="F19" s="217">
        <f>PRODUCT(D19,E19)</f>
        <v>4233</v>
      </c>
      <c r="G19" s="218">
        <f>ROUND($J$1*J19,1)</f>
        <v>21.7</v>
      </c>
      <c r="H19" s="217">
        <f>PRODUCT(D19,G19)</f>
        <v>651</v>
      </c>
      <c r="I19" s="215">
        <v>67.2</v>
      </c>
      <c r="J19" s="215">
        <v>4.0999999999999996</v>
      </c>
    </row>
    <row r="20" spans="1:16">
      <c r="A20" s="205">
        <f>(SUM(A19,1))</f>
        <v>18</v>
      </c>
      <c r="B20" s="223" t="s">
        <v>2438</v>
      </c>
      <c r="C20" s="222" t="s">
        <v>193</v>
      </c>
      <c r="D20" s="221">
        <v>5</v>
      </c>
      <c r="E20" s="218">
        <f>ROUND($I$1*I20,1)</f>
        <v>38.200000000000003</v>
      </c>
      <c r="F20" s="217">
        <f>PRODUCT(D20,E20)</f>
        <v>191</v>
      </c>
      <c r="G20" s="218">
        <f>ROUND($J$1*J20,1)</f>
        <v>46.1</v>
      </c>
      <c r="H20" s="217">
        <f>PRODUCT(D20,G20)</f>
        <v>230.5</v>
      </c>
      <c r="I20" s="215">
        <v>18.2</v>
      </c>
      <c r="J20" s="215">
        <v>8.6999999999999993</v>
      </c>
    </row>
    <row r="21" spans="1:16">
      <c r="A21" s="205">
        <f>(SUM(A20,1))</f>
        <v>19</v>
      </c>
      <c r="B21" s="223" t="s">
        <v>2437</v>
      </c>
      <c r="C21" s="222" t="s">
        <v>193</v>
      </c>
      <c r="D21" s="221">
        <v>20</v>
      </c>
      <c r="E21" s="218">
        <f>ROUND($I$1*I21,1)</f>
        <v>116.3</v>
      </c>
      <c r="F21" s="217">
        <f>PRODUCT(D21,E21)</f>
        <v>2326</v>
      </c>
      <c r="G21" s="218">
        <f>ROUND($J$1*J21,1)</f>
        <v>46.6</v>
      </c>
      <c r="H21" s="217">
        <f>PRODUCT(D21,G21)</f>
        <v>932</v>
      </c>
      <c r="I21" s="215">
        <v>55.4</v>
      </c>
      <c r="J21" s="215">
        <v>8.8000000000000007</v>
      </c>
    </row>
    <row r="22" spans="1:16">
      <c r="A22" s="205">
        <f>(SUM(A21,1))</f>
        <v>20</v>
      </c>
      <c r="B22" s="223" t="s">
        <v>2224</v>
      </c>
      <c r="C22" s="222" t="s">
        <v>193</v>
      </c>
      <c r="D22" s="221">
        <v>15</v>
      </c>
      <c r="E22" s="218">
        <f>ROUND($I$1*I22,1)</f>
        <v>516.6</v>
      </c>
      <c r="F22" s="217">
        <f>PRODUCT(D22,E22)</f>
        <v>7749</v>
      </c>
      <c r="G22" s="218">
        <f>ROUND($J$1*J22,1)</f>
        <v>177.6</v>
      </c>
      <c r="H22" s="217">
        <f>PRODUCT(D22,G22)</f>
        <v>2664</v>
      </c>
      <c r="I22" s="216">
        <f>164*1.5</f>
        <v>246</v>
      </c>
      <c r="J22" s="215">
        <v>33.5</v>
      </c>
    </row>
    <row r="23" spans="1:16">
      <c r="A23" s="205">
        <f>(SUM(A22,1))</f>
        <v>21</v>
      </c>
      <c r="B23" s="223" t="s">
        <v>2216</v>
      </c>
      <c r="C23" s="222" t="s">
        <v>193</v>
      </c>
      <c r="D23" s="221">
        <v>15</v>
      </c>
      <c r="E23" s="218">
        <f>ROUND($I$1*I23,1)</f>
        <v>352.8</v>
      </c>
      <c r="F23" s="217">
        <f>PRODUCT(D23,E23)</f>
        <v>5292</v>
      </c>
      <c r="G23" s="218">
        <f>ROUND($J$1*J23,1)</f>
        <v>161.69999999999999</v>
      </c>
      <c r="H23" s="217">
        <f>PRODUCT(D23,G23)</f>
        <v>2425.5</v>
      </c>
      <c r="I23" s="216">
        <f>112*1.5</f>
        <v>168</v>
      </c>
      <c r="J23" s="215">
        <v>30.5</v>
      </c>
    </row>
    <row r="24" spans="1:16">
      <c r="A24" s="205">
        <f>(SUM(A23,1))</f>
        <v>22</v>
      </c>
      <c r="B24" s="223" t="s">
        <v>2436</v>
      </c>
      <c r="C24" s="222" t="s">
        <v>193</v>
      </c>
      <c r="D24" s="221">
        <v>100</v>
      </c>
      <c r="E24" s="218">
        <f>ROUND($I$1*I24,1)</f>
        <v>44.9</v>
      </c>
      <c r="F24" s="217">
        <f>PRODUCT(D24,E24)</f>
        <v>4490</v>
      </c>
      <c r="G24" s="218">
        <f>ROUND($J$1*J24,1)</f>
        <v>27.6</v>
      </c>
      <c r="H24" s="217">
        <f>PRODUCT(D24,G24)</f>
        <v>2760</v>
      </c>
      <c r="I24" s="215">
        <v>21.4</v>
      </c>
      <c r="J24" s="215">
        <v>5.2</v>
      </c>
      <c r="P24" s="221">
        <v>200</v>
      </c>
    </row>
    <row r="25" spans="1:16">
      <c r="A25" s="205">
        <f>(SUM(A24,1))</f>
        <v>23</v>
      </c>
      <c r="B25" s="223" t="s">
        <v>2435</v>
      </c>
      <c r="C25" s="222" t="s">
        <v>193</v>
      </c>
      <c r="D25" s="221">
        <v>150</v>
      </c>
      <c r="E25" s="218">
        <f>ROUND($I$1*I25,1)</f>
        <v>44.9</v>
      </c>
      <c r="F25" s="217">
        <f>PRODUCT(D25,E25)</f>
        <v>6735</v>
      </c>
      <c r="G25" s="218">
        <f>ROUND($J$1*J25,1)</f>
        <v>27.6</v>
      </c>
      <c r="H25" s="217">
        <f>PRODUCT(D25,G25)</f>
        <v>4140</v>
      </c>
      <c r="I25" s="215">
        <v>21.4</v>
      </c>
      <c r="J25" s="215">
        <v>5.2</v>
      </c>
      <c r="P25" s="221">
        <v>300</v>
      </c>
    </row>
    <row r="26" spans="1:16">
      <c r="A26" s="205">
        <f>(SUM(A25,1))</f>
        <v>24</v>
      </c>
      <c r="B26" s="223" t="s">
        <v>2434</v>
      </c>
      <c r="C26" s="222" t="s">
        <v>193</v>
      </c>
      <c r="D26" s="221">
        <v>2000</v>
      </c>
      <c r="E26" s="218">
        <f>ROUND($I$1*I26,1)</f>
        <v>44.9</v>
      </c>
      <c r="F26" s="217">
        <f>PRODUCT(D26,E26)</f>
        <v>89800</v>
      </c>
      <c r="G26" s="218">
        <f>ROUND($J$1*J26,1)</f>
        <v>27.6</v>
      </c>
      <c r="H26" s="217">
        <f>PRODUCT(D26,G26)</f>
        <v>55200</v>
      </c>
      <c r="I26" s="215">
        <v>21.4</v>
      </c>
      <c r="J26" s="215">
        <v>5.2</v>
      </c>
      <c r="P26" s="221">
        <v>4000</v>
      </c>
    </row>
    <row r="27" spans="1:16">
      <c r="A27" s="205">
        <f>(SUM(A26,1))</f>
        <v>25</v>
      </c>
      <c r="B27" s="223" t="s">
        <v>2433</v>
      </c>
      <c r="C27" s="222" t="s">
        <v>193</v>
      </c>
      <c r="D27" s="221">
        <v>2400</v>
      </c>
      <c r="E27" s="218">
        <f>ROUND(I27*$I$1,1)</f>
        <v>73.3</v>
      </c>
      <c r="F27" s="217">
        <f>PRODUCT(D27,E27)</f>
        <v>175920</v>
      </c>
      <c r="G27" s="218">
        <f>ROUND(J27*$J$1,1)</f>
        <v>27.6</v>
      </c>
      <c r="H27" s="217">
        <f>PRODUCT(D27,G27)</f>
        <v>66240</v>
      </c>
      <c r="I27" s="215">
        <v>34.909999999999997</v>
      </c>
      <c r="J27" s="215">
        <v>5.2</v>
      </c>
      <c r="P27" s="221">
        <v>4900</v>
      </c>
    </row>
    <row r="28" spans="1:16">
      <c r="A28" s="205">
        <f>(SUM(A27,1))</f>
        <v>26</v>
      </c>
      <c r="B28" s="223" t="s">
        <v>2387</v>
      </c>
      <c r="C28" s="222" t="s">
        <v>193</v>
      </c>
      <c r="D28" s="221">
        <v>2510</v>
      </c>
      <c r="E28" s="218">
        <f>ROUND(I28*$I$1,1)</f>
        <v>74</v>
      </c>
      <c r="F28" s="217">
        <f>PRODUCT(D28,E28)</f>
        <v>185740</v>
      </c>
      <c r="G28" s="218">
        <f>ROUND(J28*$J$1,1)</f>
        <v>27.6</v>
      </c>
      <c r="H28" s="217">
        <f>PRODUCT(D28,G28)</f>
        <v>69276</v>
      </c>
      <c r="I28" s="215">
        <v>35.229999999999997</v>
      </c>
      <c r="J28" s="215">
        <v>5.2</v>
      </c>
      <c r="P28" s="221">
        <v>5000</v>
      </c>
    </row>
    <row r="29" spans="1:16">
      <c r="A29" s="205">
        <f>(SUM(A28,1))</f>
        <v>27</v>
      </c>
      <c r="B29" s="223" t="s">
        <v>2388</v>
      </c>
      <c r="C29" s="222" t="s">
        <v>193</v>
      </c>
      <c r="D29" s="221">
        <v>390</v>
      </c>
      <c r="E29" s="218">
        <f>ROUND(I29*$I$1,1)</f>
        <v>114.5</v>
      </c>
      <c r="F29" s="217">
        <f>PRODUCT(D29,E29)</f>
        <v>44655</v>
      </c>
      <c r="G29" s="218">
        <f>ROUND(J29*$J$1,1)</f>
        <v>27.6</v>
      </c>
      <c r="H29" s="217">
        <f>PRODUCT(D29,G29)</f>
        <v>10764</v>
      </c>
      <c r="I29" s="215">
        <v>54.5</v>
      </c>
      <c r="J29" s="215">
        <v>5.2</v>
      </c>
      <c r="P29" s="221">
        <v>600</v>
      </c>
    </row>
    <row r="30" spans="1:16">
      <c r="A30" s="205">
        <f>(SUM(A29,1))</f>
        <v>28</v>
      </c>
      <c r="B30" s="223" t="s">
        <v>2432</v>
      </c>
      <c r="C30" s="222" t="s">
        <v>193</v>
      </c>
      <c r="D30" s="221">
        <v>30</v>
      </c>
      <c r="E30" s="218">
        <f>ROUND(I30*$I$1,1)</f>
        <v>174.4</v>
      </c>
      <c r="F30" s="217">
        <f>PRODUCT(D30,E30)</f>
        <v>5232</v>
      </c>
      <c r="G30" s="218">
        <f>ROUND(J30*$J$1,1)</f>
        <v>27.6</v>
      </c>
      <c r="H30" s="217">
        <f>PRODUCT(D30,G30)</f>
        <v>828</v>
      </c>
      <c r="I30" s="215">
        <v>83.06</v>
      </c>
      <c r="J30" s="215">
        <v>5.2</v>
      </c>
    </row>
    <row r="31" spans="1:16">
      <c r="A31" s="205">
        <f>(SUM(A30,1))</f>
        <v>29</v>
      </c>
      <c r="B31" s="223" t="s">
        <v>2389</v>
      </c>
      <c r="C31" s="222" t="s">
        <v>193</v>
      </c>
      <c r="D31" s="221">
        <v>20</v>
      </c>
      <c r="E31" s="218">
        <f>ROUND(I31*$I$1,1)</f>
        <v>528.4</v>
      </c>
      <c r="F31" s="217">
        <f>PRODUCT(D31,E31)</f>
        <v>10568</v>
      </c>
      <c r="G31" s="218">
        <f>ROUND(J31*$J$1,1)</f>
        <v>38.200000000000003</v>
      </c>
      <c r="H31" s="217">
        <f>PRODUCT(D31,G31)</f>
        <v>764</v>
      </c>
      <c r="I31" s="215">
        <v>251.64</v>
      </c>
      <c r="J31" s="215">
        <v>7.2</v>
      </c>
    </row>
    <row r="32" spans="1:16">
      <c r="A32" s="205">
        <f>(SUM(A31,1))</f>
        <v>30</v>
      </c>
      <c r="B32" s="223" t="s">
        <v>2431</v>
      </c>
      <c r="C32" s="222" t="s">
        <v>193</v>
      </c>
      <c r="D32" s="300">
        <v>400</v>
      </c>
      <c r="E32" s="218">
        <f>ROUND(I32*$I$1,1)</f>
        <v>37.799999999999997</v>
      </c>
      <c r="F32" s="217">
        <f>PRODUCT(D32,E32)</f>
        <v>15119.999999999998</v>
      </c>
      <c r="G32" s="218">
        <f>ROUND(J32*$J$1,1)</f>
        <v>15.4</v>
      </c>
      <c r="H32" s="217">
        <f>PRODUCT(D32,G32)</f>
        <v>6160</v>
      </c>
      <c r="I32" s="215">
        <v>18</v>
      </c>
      <c r="J32" s="215">
        <v>2.9</v>
      </c>
    </row>
    <row r="33" spans="1:16">
      <c r="A33" s="205">
        <f>(SUM(A32,1))</f>
        <v>31</v>
      </c>
      <c r="B33" s="223" t="s">
        <v>2430</v>
      </c>
      <c r="C33" s="222" t="s">
        <v>193</v>
      </c>
      <c r="D33" s="221">
        <v>30</v>
      </c>
      <c r="E33" s="218">
        <f>ROUND($I$1*I33,1)</f>
        <v>116.2</v>
      </c>
      <c r="F33" s="217">
        <f>PRODUCT(D33,E33)</f>
        <v>3486</v>
      </c>
      <c r="G33" s="218">
        <f>ROUND($J$1*J33,1)</f>
        <v>27.6</v>
      </c>
      <c r="H33" s="217">
        <f>PRODUCT(D33,G33)</f>
        <v>828</v>
      </c>
      <c r="I33" s="216">
        <v>55.32</v>
      </c>
      <c r="J33" s="215">
        <v>5.2</v>
      </c>
      <c r="P33" s="221">
        <v>50</v>
      </c>
    </row>
    <row r="34" spans="1:16">
      <c r="A34" s="205">
        <f>(SUM(A33,1))</f>
        <v>32</v>
      </c>
      <c r="B34" s="223" t="s">
        <v>2429</v>
      </c>
      <c r="C34" s="222" t="s">
        <v>450</v>
      </c>
      <c r="D34" s="221">
        <v>142</v>
      </c>
      <c r="E34" s="218">
        <f>ROUND($I$1*I34,1)</f>
        <v>304.39999999999998</v>
      </c>
      <c r="F34" s="217">
        <f>PRODUCT(D34,E34)</f>
        <v>43224.799999999996</v>
      </c>
      <c r="G34" s="218">
        <f>ROUND($J$1*J34,1)</f>
        <v>62.5</v>
      </c>
      <c r="H34" s="217">
        <f>PRODUCT(D34,G34)</f>
        <v>8875</v>
      </c>
      <c r="I34" s="216">
        <v>144.96</v>
      </c>
      <c r="J34" s="215">
        <v>11.8</v>
      </c>
      <c r="P34" s="221">
        <v>305</v>
      </c>
    </row>
    <row r="35" spans="1:16">
      <c r="A35" s="205">
        <f>(SUM(A34,1))</f>
        <v>33</v>
      </c>
      <c r="B35" s="223" t="s">
        <v>2428</v>
      </c>
      <c r="C35" s="222" t="s">
        <v>450</v>
      </c>
      <c r="D35" s="221">
        <v>132</v>
      </c>
      <c r="E35" s="218">
        <f>ROUND($I$1*I35,1)</f>
        <v>248.2</v>
      </c>
      <c r="F35" s="217">
        <f>PRODUCT(D35,E35)</f>
        <v>32762.399999999998</v>
      </c>
      <c r="G35" s="218">
        <f>ROUND($J$1*J35,1)</f>
        <v>62.5</v>
      </c>
      <c r="H35" s="217">
        <f>PRODUCT(D35,G35)</f>
        <v>8250</v>
      </c>
      <c r="I35" s="216">
        <f>99.82+18.36</f>
        <v>118.17999999999999</v>
      </c>
      <c r="J35" s="215">
        <v>11.8</v>
      </c>
      <c r="P35" s="221">
        <v>280</v>
      </c>
    </row>
    <row r="36" spans="1:16">
      <c r="A36" s="205">
        <f>(SUM(A35,1))</f>
        <v>34</v>
      </c>
      <c r="B36" s="223" t="s">
        <v>2427</v>
      </c>
      <c r="C36" s="222" t="s">
        <v>450</v>
      </c>
      <c r="D36" s="221">
        <v>28</v>
      </c>
      <c r="E36" s="218">
        <f>ROUND($I$1*I36,1)</f>
        <v>2415</v>
      </c>
      <c r="F36" s="217">
        <f>PRODUCT(D36,E36)</f>
        <v>67620</v>
      </c>
      <c r="G36" s="218">
        <f>ROUND($J$1*J36,1)</f>
        <v>62.5</v>
      </c>
      <c r="H36" s="217">
        <f>PRODUCT(D36,G36)</f>
        <v>1750</v>
      </c>
      <c r="I36" s="216">
        <v>1150</v>
      </c>
      <c r="J36" s="215">
        <v>11.8</v>
      </c>
      <c r="P36" s="221">
        <v>70</v>
      </c>
    </row>
    <row r="37" spans="1:16">
      <c r="A37" s="205">
        <f>(SUM(A36,1))</f>
        <v>35</v>
      </c>
      <c r="B37" s="223" t="s">
        <v>2426</v>
      </c>
      <c r="C37" s="222" t="s">
        <v>450</v>
      </c>
      <c r="D37" s="221">
        <v>35</v>
      </c>
      <c r="E37" s="218">
        <f>ROUND($I$1*I37,1)</f>
        <v>390.4</v>
      </c>
      <c r="F37" s="217">
        <f>PRODUCT(D37,E37)</f>
        <v>13664</v>
      </c>
      <c r="G37" s="218">
        <f>ROUND($J$1*J37,1)</f>
        <v>114</v>
      </c>
      <c r="H37" s="217">
        <f>PRODUCT(D37,G37)</f>
        <v>3990</v>
      </c>
      <c r="I37" s="216">
        <v>185.9</v>
      </c>
      <c r="J37" s="215">
        <v>21.5</v>
      </c>
      <c r="P37" s="221">
        <v>70</v>
      </c>
    </row>
    <row r="38" spans="1:16">
      <c r="A38" s="205">
        <f>(SUM(A37,1))</f>
        <v>36</v>
      </c>
      <c r="B38" s="223" t="s">
        <v>2425</v>
      </c>
      <c r="C38" s="222" t="s">
        <v>450</v>
      </c>
      <c r="D38" s="221">
        <v>1</v>
      </c>
      <c r="E38" s="218">
        <f>ROUND($I$1*I38,1)</f>
        <v>926.1</v>
      </c>
      <c r="F38" s="217">
        <f>PRODUCT(D38,E38)</f>
        <v>926.1</v>
      </c>
      <c r="G38" s="218">
        <f>ROUND($J$1*J38,1)</f>
        <v>159</v>
      </c>
      <c r="H38" s="217">
        <f>PRODUCT(D38,G38)</f>
        <v>159</v>
      </c>
      <c r="I38" s="215">
        <v>441</v>
      </c>
      <c r="J38" s="215">
        <v>30</v>
      </c>
      <c r="P38" s="221">
        <v>1</v>
      </c>
    </row>
    <row r="39" spans="1:16">
      <c r="A39" s="205">
        <f>(SUM(A38,1))</f>
        <v>37</v>
      </c>
      <c r="B39" s="223" t="s">
        <v>2424</v>
      </c>
      <c r="C39" s="222" t="s">
        <v>450</v>
      </c>
      <c r="D39" s="221">
        <v>6</v>
      </c>
      <c r="E39" s="218">
        <f>ROUND($I$1*I39,1)</f>
        <v>268.8</v>
      </c>
      <c r="F39" s="217">
        <f>PRODUCT(D39,E39)</f>
        <v>1612.8000000000002</v>
      </c>
      <c r="G39" s="218">
        <f>ROUND($J$1*J39,1)</f>
        <v>39.799999999999997</v>
      </c>
      <c r="H39" s="217">
        <f>PRODUCT(D39,G39)</f>
        <v>238.79999999999998</v>
      </c>
      <c r="I39" s="215">
        <f>80.29+18.36+29.36</f>
        <v>128.01</v>
      </c>
      <c r="J39" s="215">
        <v>7.5</v>
      </c>
      <c r="P39" s="221">
        <v>18</v>
      </c>
    </row>
    <row r="40" spans="1:16">
      <c r="A40" s="205">
        <f>(SUM(A39,1))</f>
        <v>38</v>
      </c>
      <c r="B40" s="223" t="s">
        <v>2423</v>
      </c>
      <c r="C40" s="222" t="s">
        <v>450</v>
      </c>
      <c r="D40" s="221">
        <v>22</v>
      </c>
      <c r="E40" s="218">
        <f>ROUND($I$1*I40,1)</f>
        <v>428.5</v>
      </c>
      <c r="F40" s="217">
        <f>PRODUCT(D40,E40)</f>
        <v>9427</v>
      </c>
      <c r="G40" s="218">
        <f>ROUND($J$1*J40,1)</f>
        <v>50.9</v>
      </c>
      <c r="H40" s="217">
        <f>PRODUCT(D40,G40)</f>
        <v>1119.8</v>
      </c>
      <c r="I40" s="215">
        <f>136.28+18.36+49.39</f>
        <v>204.02999999999997</v>
      </c>
      <c r="J40" s="215">
        <v>9.6</v>
      </c>
      <c r="P40" s="221">
        <v>50</v>
      </c>
    </row>
    <row r="41" spans="1:16">
      <c r="A41" s="205">
        <f>(SUM(A40,1))</f>
        <v>39</v>
      </c>
      <c r="B41" s="223" t="s">
        <v>2422</v>
      </c>
      <c r="C41" s="222" t="s">
        <v>450</v>
      </c>
      <c r="D41" s="221">
        <v>67</v>
      </c>
      <c r="E41" s="218">
        <f>ROUND($I$1*I41,1)</f>
        <v>482.9</v>
      </c>
      <c r="F41" s="217">
        <f>PRODUCT(D41,E41)</f>
        <v>32354.3</v>
      </c>
      <c r="G41" s="218">
        <f>ROUND($J$1*J41,1)</f>
        <v>50.9</v>
      </c>
      <c r="H41" s="217">
        <f>PRODUCT(D41,G41)</f>
        <v>3410.2999999999997</v>
      </c>
      <c r="I41" s="215">
        <f>162.22+18.36+49.39</f>
        <v>229.96999999999997</v>
      </c>
      <c r="J41" s="215">
        <v>9.6</v>
      </c>
      <c r="P41" s="221">
        <v>140</v>
      </c>
    </row>
    <row r="42" spans="1:16">
      <c r="A42" s="205">
        <f>(SUM(A41,1))</f>
        <v>40</v>
      </c>
      <c r="B42" s="223" t="s">
        <v>2421</v>
      </c>
      <c r="C42" s="222" t="s">
        <v>450</v>
      </c>
      <c r="D42" s="221">
        <v>43</v>
      </c>
      <c r="E42" s="218">
        <f>ROUND($I$1*I42,1)</f>
        <v>6503.5</v>
      </c>
      <c r="F42" s="217">
        <f>PRODUCT(D42,E42)</f>
        <v>279650.5</v>
      </c>
      <c r="G42" s="218">
        <f>ROUND($J$1*J42,1)</f>
        <v>45.6</v>
      </c>
      <c r="H42" s="217">
        <f>PRODUCT(D42,G42)</f>
        <v>1960.8</v>
      </c>
      <c r="I42" s="215">
        <f>2839.7+23.7+233.5</f>
        <v>3096.8999999999996</v>
      </c>
      <c r="J42" s="215">
        <v>8.6</v>
      </c>
      <c r="P42" s="221">
        <v>94</v>
      </c>
    </row>
    <row r="43" spans="1:16">
      <c r="A43" s="205">
        <f>(SUM(A42,1))</f>
        <v>41</v>
      </c>
      <c r="B43" s="223" t="s">
        <v>2420</v>
      </c>
      <c r="C43" s="222" t="s">
        <v>450</v>
      </c>
      <c r="D43" s="221">
        <v>3</v>
      </c>
      <c r="E43" s="218">
        <f>ROUND($I$1*I43,1)</f>
        <v>1583.4</v>
      </c>
      <c r="F43" s="217">
        <f>PRODUCT(D43,E43)</f>
        <v>4750.2000000000007</v>
      </c>
      <c r="G43" s="218">
        <f>ROUND($J$1*J43,1)</f>
        <v>39.799999999999997</v>
      </c>
      <c r="H43" s="217">
        <f>PRODUCT(D43,G43)</f>
        <v>119.39999999999999</v>
      </c>
      <c r="I43" s="215">
        <f>622+21.1+59.5+51.4</f>
        <v>754</v>
      </c>
      <c r="J43" s="215">
        <v>7.5</v>
      </c>
      <c r="P43" s="221">
        <v>5</v>
      </c>
    </row>
    <row r="44" spans="1:16">
      <c r="A44" s="205">
        <f>(SUM(A43,1))</f>
        <v>42</v>
      </c>
      <c r="B44" s="223" t="s">
        <v>2419</v>
      </c>
      <c r="C44" s="222" t="s">
        <v>450</v>
      </c>
      <c r="D44" s="221">
        <v>5</v>
      </c>
      <c r="E44" s="218">
        <f>ROUND($I$1*I44,1)</f>
        <v>366.5</v>
      </c>
      <c r="F44" s="217">
        <f>PRODUCT(D44,E44)</f>
        <v>1832.5</v>
      </c>
      <c r="G44" s="218">
        <f>ROUND($J$1*J44,1)</f>
        <v>114</v>
      </c>
      <c r="H44" s="217">
        <f>PRODUCT(D44,G44)</f>
        <v>570</v>
      </c>
      <c r="I44" s="215">
        <f>(173+38.2)/1.21</f>
        <v>174.54545454545453</v>
      </c>
      <c r="J44" s="215">
        <v>21.5</v>
      </c>
      <c r="P44" s="221">
        <v>5</v>
      </c>
    </row>
    <row r="45" spans="1:16">
      <c r="A45" s="205">
        <f>(SUM(A44,1))</f>
        <v>43</v>
      </c>
      <c r="B45" s="223" t="s">
        <v>2418</v>
      </c>
      <c r="C45" s="222" t="s">
        <v>450</v>
      </c>
      <c r="D45" s="221">
        <v>41</v>
      </c>
      <c r="E45" s="218">
        <f>ROUND($I$1*I45,1)</f>
        <v>3066</v>
      </c>
      <c r="F45" s="217">
        <f>PRODUCT(D45,E45)</f>
        <v>125706</v>
      </c>
      <c r="G45" s="218">
        <f>ROUND($J$1*J45,1)</f>
        <v>238.5</v>
      </c>
      <c r="H45" s="217">
        <f>PRODUCT(D45,G45)</f>
        <v>9778.5</v>
      </c>
      <c r="I45" s="216">
        <v>1460</v>
      </c>
      <c r="J45" s="215">
        <v>45</v>
      </c>
      <c r="P45" s="221">
        <v>82</v>
      </c>
    </row>
    <row r="46" spans="1:16">
      <c r="A46" s="205">
        <f>(SUM(A45,1))</f>
        <v>44</v>
      </c>
      <c r="B46" s="223" t="s">
        <v>2417</v>
      </c>
      <c r="C46" s="222" t="s">
        <v>450</v>
      </c>
      <c r="D46" s="221">
        <v>5</v>
      </c>
      <c r="E46" s="218">
        <f>ROUND($I$1*I46,1)</f>
        <v>1365</v>
      </c>
      <c r="F46" s="217">
        <f>PRODUCT(D46,E46)</f>
        <v>6825</v>
      </c>
      <c r="G46" s="218">
        <f>ROUND($J$1*J46,1)</f>
        <v>238.5</v>
      </c>
      <c r="H46" s="217">
        <f>PRODUCT(D46,G46)</f>
        <v>1192.5</v>
      </c>
      <c r="I46" s="216">
        <v>650</v>
      </c>
      <c r="J46" s="215">
        <v>45</v>
      </c>
      <c r="P46" s="221">
        <v>6</v>
      </c>
    </row>
    <row r="47" spans="1:16">
      <c r="A47" s="205">
        <f>(SUM(A46,1))</f>
        <v>45</v>
      </c>
      <c r="B47" s="223" t="s">
        <v>2416</v>
      </c>
      <c r="C47" s="222" t="s">
        <v>450</v>
      </c>
      <c r="D47" s="221">
        <v>26</v>
      </c>
      <c r="E47" s="218">
        <f>ROUND($I$1*I47,1)</f>
        <v>974.4</v>
      </c>
      <c r="F47" s="217">
        <f>PRODUCT(D47,E47)</f>
        <v>25334.399999999998</v>
      </c>
      <c r="G47" s="218">
        <f>ROUND($J$1*J47,1)</f>
        <v>238.5</v>
      </c>
      <c r="H47" s="217">
        <f>PRODUCT(D47,G47)</f>
        <v>6201</v>
      </c>
      <c r="I47" s="216">
        <v>464</v>
      </c>
      <c r="J47" s="215">
        <v>45</v>
      </c>
      <c r="P47" s="221">
        <v>50</v>
      </c>
    </row>
    <row r="48" spans="1:16">
      <c r="A48" s="205">
        <f>(SUM(A47,1))</f>
        <v>46</v>
      </c>
      <c r="B48" s="223" t="s">
        <v>2415</v>
      </c>
      <c r="C48" s="222" t="s">
        <v>450</v>
      </c>
      <c r="D48" s="221">
        <v>72</v>
      </c>
      <c r="E48" s="218">
        <f>ROUND($I$1*I48,1)</f>
        <v>2520</v>
      </c>
      <c r="F48" s="217">
        <f>PRODUCT(D48,E48)</f>
        <v>181440</v>
      </c>
      <c r="G48" s="218">
        <f>ROUND($J$1*J48,1)</f>
        <v>53</v>
      </c>
      <c r="H48" s="217">
        <f>PRODUCT(D48,G48)</f>
        <v>3816</v>
      </c>
      <c r="I48" s="215">
        <v>1200</v>
      </c>
      <c r="J48" s="215">
        <v>10</v>
      </c>
      <c r="P48" s="221">
        <v>140</v>
      </c>
    </row>
    <row r="49" spans="1:16">
      <c r="A49" s="205">
        <f>(SUM(A48,1))</f>
        <v>47</v>
      </c>
      <c r="B49" s="223" t="s">
        <v>2414</v>
      </c>
      <c r="C49" s="222" t="s">
        <v>450</v>
      </c>
      <c r="D49" s="221">
        <v>9</v>
      </c>
      <c r="E49" s="218">
        <f>ROUND($I$1*I49,1)</f>
        <v>6300</v>
      </c>
      <c r="F49" s="217">
        <f>PRODUCT(D49,E49)</f>
        <v>56700</v>
      </c>
      <c r="G49" s="218">
        <f>ROUND($J$1*J49,1)</f>
        <v>530</v>
      </c>
      <c r="H49" s="217">
        <f>PRODUCT(D49,G49)</f>
        <v>4770</v>
      </c>
      <c r="I49" s="215">
        <v>3000</v>
      </c>
      <c r="J49" s="215">
        <v>100</v>
      </c>
      <c r="P49" s="221">
        <v>16</v>
      </c>
    </row>
    <row r="50" spans="1:16">
      <c r="A50" s="205">
        <f>(SUM(A49,1))</f>
        <v>48</v>
      </c>
      <c r="B50" s="223" t="s">
        <v>2413</v>
      </c>
      <c r="C50" s="222" t="s">
        <v>429</v>
      </c>
      <c r="D50" s="221">
        <v>1</v>
      </c>
      <c r="E50" s="218">
        <f>ROUND($I$1*I50,1)</f>
        <v>0</v>
      </c>
      <c r="F50" s="217">
        <f>PRODUCT(D50,E50)</f>
        <v>0</v>
      </c>
      <c r="G50" s="218">
        <f>ROUND($J$1*J50,1)</f>
        <v>37100</v>
      </c>
      <c r="H50" s="217">
        <f>PRODUCT(D50,G50)</f>
        <v>37100</v>
      </c>
      <c r="I50" s="215">
        <v>0</v>
      </c>
      <c r="J50" s="215">
        <v>7000</v>
      </c>
      <c r="P50" s="221"/>
    </row>
    <row r="51" spans="1:16">
      <c r="A51" s="205">
        <f>(SUM(A50,1))</f>
        <v>49</v>
      </c>
      <c r="B51" s="232" t="s">
        <v>2412</v>
      </c>
      <c r="C51" s="222" t="s">
        <v>450</v>
      </c>
      <c r="D51" s="221">
        <v>2</v>
      </c>
      <c r="E51" s="218">
        <f>ROUND($I$1*I51,1)</f>
        <v>5205.8999999999996</v>
      </c>
      <c r="F51" s="217">
        <f>PRODUCT(D51,E51)</f>
        <v>10411.799999999999</v>
      </c>
      <c r="G51" s="218">
        <f>ROUND($J$1*J51,1)</f>
        <v>132.5</v>
      </c>
      <c r="H51" s="217">
        <f>PRODUCT(D51,G51)</f>
        <v>265</v>
      </c>
      <c r="I51" s="216">
        <f>(2108+863+28.6)/1.21</f>
        <v>2479.0082644628101</v>
      </c>
      <c r="J51" s="215">
        <v>25</v>
      </c>
      <c r="P51" s="221">
        <v>4</v>
      </c>
    </row>
    <row r="52" spans="1:16">
      <c r="A52" s="205">
        <f>(SUM(A51,1))</f>
        <v>50</v>
      </c>
      <c r="B52" s="223" t="s">
        <v>2411</v>
      </c>
      <c r="C52" s="222" t="s">
        <v>193</v>
      </c>
      <c r="D52" s="221">
        <v>170</v>
      </c>
      <c r="E52" s="218">
        <f>ROUND($I$1*I52,1)</f>
        <v>19.5</v>
      </c>
      <c r="F52" s="217">
        <f>PRODUCT(D52,E52)</f>
        <v>3315</v>
      </c>
      <c r="G52" s="218">
        <f>ROUND($J$1*J52,1)</f>
        <v>15.4</v>
      </c>
      <c r="H52" s="217">
        <f>PRODUCT(D52,G52)</f>
        <v>2618</v>
      </c>
      <c r="I52" s="216">
        <v>9.2799999999999994</v>
      </c>
      <c r="J52" s="215">
        <v>2.9</v>
      </c>
      <c r="P52" s="221">
        <v>300</v>
      </c>
    </row>
    <row r="53" spans="1:16">
      <c r="A53" s="205">
        <f>(SUM(A52,1))</f>
        <v>51</v>
      </c>
      <c r="B53" s="223" t="s">
        <v>2410</v>
      </c>
      <c r="C53" s="222" t="s">
        <v>193</v>
      </c>
      <c r="D53" s="221">
        <v>170</v>
      </c>
      <c r="E53" s="218">
        <f>ROUND($I$1*I53,1)</f>
        <v>41.4</v>
      </c>
      <c r="F53" s="217">
        <f>PRODUCT(D53,E53)</f>
        <v>7038</v>
      </c>
      <c r="G53" s="218">
        <f>ROUND($J$1*J53,1)</f>
        <v>15.4</v>
      </c>
      <c r="H53" s="217">
        <f>PRODUCT(D53,G53)</f>
        <v>2618</v>
      </c>
      <c r="I53" s="216">
        <v>19.71</v>
      </c>
      <c r="J53" s="215">
        <v>2.9</v>
      </c>
      <c r="P53" s="221">
        <v>300</v>
      </c>
    </row>
    <row r="54" spans="1:16">
      <c r="A54" s="205">
        <f>(SUM(A53,1))</f>
        <v>52</v>
      </c>
      <c r="B54" s="223" t="s">
        <v>2409</v>
      </c>
      <c r="C54" s="222" t="s">
        <v>193</v>
      </c>
      <c r="D54" s="221">
        <v>170</v>
      </c>
      <c r="E54" s="218">
        <f>ROUND($I$1*I54,1)</f>
        <v>68.5</v>
      </c>
      <c r="F54" s="217">
        <f>PRODUCT(D54,E54)</f>
        <v>11645</v>
      </c>
      <c r="G54" s="218">
        <f>ROUND($J$1*J54,1)</f>
        <v>15.4</v>
      </c>
      <c r="H54" s="217">
        <f>PRODUCT(D54,G54)</f>
        <v>2618</v>
      </c>
      <c r="I54" s="216">
        <v>32.630000000000003</v>
      </c>
      <c r="J54" s="215">
        <v>2.9</v>
      </c>
      <c r="P54" s="221">
        <v>300</v>
      </c>
    </row>
    <row r="55" spans="1:16">
      <c r="A55" s="205">
        <f>(SUM(A54,1))</f>
        <v>53</v>
      </c>
      <c r="B55" s="223" t="s">
        <v>2408</v>
      </c>
      <c r="C55" s="222" t="s">
        <v>193</v>
      </c>
      <c r="D55" s="221">
        <v>120</v>
      </c>
      <c r="E55" s="218">
        <f>ROUND($I$1*I55,1)</f>
        <v>108.7</v>
      </c>
      <c r="F55" s="217">
        <f>PRODUCT(D55,E55)</f>
        <v>13044</v>
      </c>
      <c r="G55" s="218">
        <f>ROUND($J$1*J55,1)</f>
        <v>15.4</v>
      </c>
      <c r="H55" s="217">
        <f>PRODUCT(D55,G55)</f>
        <v>1848</v>
      </c>
      <c r="I55" s="216">
        <v>51.77</v>
      </c>
      <c r="J55" s="215">
        <v>2.9</v>
      </c>
      <c r="P55" s="221">
        <v>200</v>
      </c>
    </row>
    <row r="56" spans="1:16">
      <c r="A56" s="205">
        <f>(SUM(A55,1))</f>
        <v>54</v>
      </c>
      <c r="B56" s="223" t="s">
        <v>2308</v>
      </c>
      <c r="C56" s="222" t="s">
        <v>193</v>
      </c>
      <c r="D56" s="221">
        <v>50</v>
      </c>
      <c r="E56" s="218">
        <f>ROUND($I$1*I56,1)</f>
        <v>176.6</v>
      </c>
      <c r="F56" s="217">
        <f>PRODUCT(D56,E56)</f>
        <v>8830</v>
      </c>
      <c r="G56" s="218">
        <f>ROUND($J$1*J56,1)</f>
        <v>27.6</v>
      </c>
      <c r="H56" s="217">
        <f>PRODUCT(D56,G56)</f>
        <v>1380</v>
      </c>
      <c r="I56" s="215">
        <v>84.08</v>
      </c>
      <c r="J56" s="215">
        <v>5.2</v>
      </c>
      <c r="P56" s="221">
        <v>100</v>
      </c>
    </row>
    <row r="57" spans="1:16">
      <c r="A57" s="205">
        <f>(SUM(A56,1))</f>
        <v>55</v>
      </c>
      <c r="B57" s="223" t="s">
        <v>2199</v>
      </c>
      <c r="C57" s="222" t="s">
        <v>2177</v>
      </c>
      <c r="D57" s="221">
        <v>1</v>
      </c>
      <c r="E57" s="218">
        <f>ROUND($I$1*I57,1)</f>
        <v>21000</v>
      </c>
      <c r="F57" s="217">
        <f>PRODUCT(D57,E57)</f>
        <v>21000</v>
      </c>
      <c r="G57" s="218">
        <f>ROUND($J$1*J57,1)</f>
        <v>2650</v>
      </c>
      <c r="H57" s="217">
        <f>PRODUCT(D57,G57)</f>
        <v>2650</v>
      </c>
      <c r="I57" s="215">
        <v>10000</v>
      </c>
      <c r="J57" s="215">
        <v>500</v>
      </c>
      <c r="P57" s="221">
        <v>1</v>
      </c>
    </row>
    <row r="58" spans="1:16">
      <c r="A58" s="205">
        <f>(SUM(A57,1))</f>
        <v>56</v>
      </c>
      <c r="B58" s="223" t="s">
        <v>2407</v>
      </c>
      <c r="C58" s="222" t="s">
        <v>450</v>
      </c>
      <c r="D58" s="221">
        <v>1</v>
      </c>
      <c r="E58" s="218">
        <f>ROUND($I$1*I58,1)</f>
        <v>1220.0999999999999</v>
      </c>
      <c r="F58" s="217">
        <f>PRODUCT(D58,E58)</f>
        <v>1220.0999999999999</v>
      </c>
      <c r="G58" s="218">
        <f>ROUND($J$1*J58,1)</f>
        <v>238.5</v>
      </c>
      <c r="H58" s="217">
        <f>PRODUCT(D58,G58)</f>
        <v>238.5</v>
      </c>
      <c r="I58" s="215">
        <v>581</v>
      </c>
      <c r="J58" s="215">
        <v>45</v>
      </c>
      <c r="P58" s="221">
        <v>2</v>
      </c>
    </row>
    <row r="59" spans="1:16">
      <c r="A59" s="205">
        <f>(SUM(A58,1))</f>
        <v>57</v>
      </c>
      <c r="B59" s="223" t="s">
        <v>2406</v>
      </c>
      <c r="C59" s="222" t="s">
        <v>450</v>
      </c>
      <c r="D59" s="221">
        <v>70</v>
      </c>
      <c r="E59" s="218">
        <f>ROUND($I$1*I59,1)</f>
        <v>95.1</v>
      </c>
      <c r="F59" s="217">
        <f>PRODUCT(D59,E59)</f>
        <v>6657</v>
      </c>
      <c r="G59" s="218">
        <f>ROUND($J$1*J59,1)</f>
        <v>92.2</v>
      </c>
      <c r="H59" s="217">
        <f>PRODUCT(D59,G59)</f>
        <v>6454</v>
      </c>
      <c r="I59" s="215">
        <v>45.3</v>
      </c>
      <c r="J59" s="215">
        <v>17.399999999999999</v>
      </c>
      <c r="P59" s="221">
        <v>120</v>
      </c>
    </row>
    <row r="60" spans="1:16">
      <c r="A60" s="205">
        <f>(SUM(A59,1))</f>
        <v>58</v>
      </c>
      <c r="B60" s="224" t="s">
        <v>2378</v>
      </c>
      <c r="C60" s="219" t="s">
        <v>450</v>
      </c>
      <c r="D60" s="214">
        <v>20</v>
      </c>
      <c r="E60" s="218">
        <f>ROUND($I$1*I60,1)</f>
        <v>0</v>
      </c>
      <c r="F60" s="217">
        <f>PRODUCT(D60,E60)</f>
        <v>0</v>
      </c>
      <c r="G60" s="218">
        <f>ROUND($J$1*J60,1)</f>
        <v>92.2</v>
      </c>
      <c r="H60" s="217">
        <f>PRODUCT(D60,G60)</f>
        <v>1844</v>
      </c>
      <c r="I60" s="216">
        <v>0</v>
      </c>
      <c r="J60" s="215">
        <v>17.399999999999999</v>
      </c>
      <c r="P60" s="214">
        <v>16</v>
      </c>
    </row>
    <row r="61" spans="1:16">
      <c r="A61" s="205">
        <f>(SUM(A60,1))</f>
        <v>59</v>
      </c>
      <c r="B61" s="237" t="s">
        <v>2405</v>
      </c>
      <c r="C61" s="236" t="s">
        <v>450</v>
      </c>
      <c r="D61" s="248">
        <v>5</v>
      </c>
      <c r="E61" s="218">
        <f>ROUND($I$1*I61,1)</f>
        <v>0</v>
      </c>
      <c r="F61" s="217">
        <f>PRODUCT(D61,E61)</f>
        <v>0</v>
      </c>
      <c r="G61" s="218">
        <f>ROUND($J$1*J61,1)</f>
        <v>238.5</v>
      </c>
      <c r="H61" s="217">
        <f>PRODUCT(D61,G61)</f>
        <v>1192.5</v>
      </c>
      <c r="I61" s="215">
        <v>0</v>
      </c>
      <c r="J61" s="215">
        <v>45</v>
      </c>
    </row>
    <row r="62" spans="1:16">
      <c r="A62" s="205">
        <f>(SUM(A61,1))</f>
        <v>60</v>
      </c>
      <c r="B62" s="237" t="s">
        <v>2404</v>
      </c>
      <c r="C62" s="236" t="s">
        <v>450</v>
      </c>
      <c r="D62" s="248">
        <v>2</v>
      </c>
      <c r="E62" s="218">
        <f>ROUND($I$1*I62,1)</f>
        <v>0</v>
      </c>
      <c r="F62" s="217">
        <f>PRODUCT(D62,E62)</f>
        <v>0</v>
      </c>
      <c r="G62" s="218">
        <f>ROUND($J$1*J62,1)</f>
        <v>238.5</v>
      </c>
      <c r="H62" s="217">
        <f>PRODUCT(D62,G62)</f>
        <v>477</v>
      </c>
      <c r="I62" s="215">
        <v>0</v>
      </c>
      <c r="J62" s="215">
        <v>45</v>
      </c>
    </row>
    <row r="63" spans="1:16">
      <c r="A63" s="205">
        <f>(SUM(A62,1))</f>
        <v>61</v>
      </c>
      <c r="B63" s="237" t="s">
        <v>2403</v>
      </c>
      <c r="C63" s="236" t="s">
        <v>450</v>
      </c>
      <c r="D63" s="248">
        <v>7</v>
      </c>
      <c r="E63" s="218">
        <f>ROUND($I$1*I63,1)</f>
        <v>0</v>
      </c>
      <c r="F63" s="217">
        <f>PRODUCT(D63,E63)</f>
        <v>0</v>
      </c>
      <c r="G63" s="218">
        <f>ROUND($J$1*J63,1)</f>
        <v>238.5</v>
      </c>
      <c r="H63" s="217">
        <f>PRODUCT(D63,G63)</f>
        <v>1669.5</v>
      </c>
      <c r="I63" s="215">
        <v>0</v>
      </c>
      <c r="J63" s="215">
        <v>45</v>
      </c>
    </row>
    <row r="64" spans="1:16">
      <c r="A64" s="205">
        <f>(SUM(A63,1))</f>
        <v>62</v>
      </c>
      <c r="B64" s="237" t="s">
        <v>2402</v>
      </c>
      <c r="C64" s="236" t="s">
        <v>450</v>
      </c>
      <c r="D64" s="248">
        <v>1</v>
      </c>
      <c r="E64" s="218">
        <f>ROUND($I$1*I64,1)</f>
        <v>0</v>
      </c>
      <c r="F64" s="217">
        <f>PRODUCT(D64,E64)</f>
        <v>0</v>
      </c>
      <c r="G64" s="218">
        <f>ROUND($J$1*J64,1)</f>
        <v>238.5</v>
      </c>
      <c r="H64" s="217">
        <f>PRODUCT(D64,G64)</f>
        <v>238.5</v>
      </c>
      <c r="I64" s="215">
        <v>0</v>
      </c>
      <c r="J64" s="215">
        <v>45</v>
      </c>
    </row>
    <row r="65" spans="1:16">
      <c r="A65" s="205">
        <f>(SUM(A64,1))</f>
        <v>63</v>
      </c>
      <c r="B65" s="237" t="s">
        <v>2401</v>
      </c>
      <c r="C65" s="236" t="s">
        <v>450</v>
      </c>
      <c r="D65" s="248">
        <v>14</v>
      </c>
      <c r="E65" s="218">
        <f>ROUND($I$1*I65,1)</f>
        <v>0</v>
      </c>
      <c r="F65" s="217">
        <f>PRODUCT(D65,E65)</f>
        <v>0</v>
      </c>
      <c r="G65" s="218">
        <f>ROUND($J$1*J65,1)</f>
        <v>238.5</v>
      </c>
      <c r="H65" s="217">
        <f>PRODUCT(D65,G65)</f>
        <v>3339</v>
      </c>
      <c r="I65" s="215">
        <v>0</v>
      </c>
      <c r="J65" s="215">
        <v>45</v>
      </c>
    </row>
    <row r="66" spans="1:16">
      <c r="A66" s="205">
        <f>(SUM(A65,1))</f>
        <v>64</v>
      </c>
      <c r="B66" s="237" t="s">
        <v>2400</v>
      </c>
      <c r="C66" s="236" t="s">
        <v>450</v>
      </c>
      <c r="D66" s="248">
        <v>9</v>
      </c>
      <c r="E66" s="218">
        <f>ROUND($I$1*I66,1)</f>
        <v>0</v>
      </c>
      <c r="F66" s="217">
        <f>PRODUCT(D66,E66)</f>
        <v>0</v>
      </c>
      <c r="G66" s="218">
        <f>ROUND($J$1*J66,1)</f>
        <v>238.5</v>
      </c>
      <c r="H66" s="217">
        <f>PRODUCT(D66,G66)</f>
        <v>2146.5</v>
      </c>
      <c r="I66" s="215">
        <v>0</v>
      </c>
      <c r="J66" s="215">
        <v>45</v>
      </c>
    </row>
    <row r="67" spans="1:16">
      <c r="A67" s="205">
        <f>(SUM(A66,1))</f>
        <v>65</v>
      </c>
      <c r="B67" s="237" t="s">
        <v>2399</v>
      </c>
      <c r="C67" s="236" t="s">
        <v>450</v>
      </c>
      <c r="D67" s="248">
        <v>2</v>
      </c>
      <c r="E67" s="218">
        <f>ROUND($I$1*I67,1)</f>
        <v>0</v>
      </c>
      <c r="F67" s="217">
        <f>PRODUCT(D67,E67)</f>
        <v>0</v>
      </c>
      <c r="G67" s="218">
        <f>ROUND($J$1*J67,1)</f>
        <v>238.5</v>
      </c>
      <c r="H67" s="217">
        <f>PRODUCT(D67,G67)</f>
        <v>477</v>
      </c>
      <c r="I67" s="215">
        <v>0</v>
      </c>
      <c r="J67" s="215">
        <v>45</v>
      </c>
    </row>
    <row r="68" spans="1:16">
      <c r="A68" s="205">
        <f>(SUM(A67,1))</f>
        <v>66</v>
      </c>
      <c r="B68" s="237" t="s">
        <v>2398</v>
      </c>
      <c r="C68" s="236" t="s">
        <v>450</v>
      </c>
      <c r="D68" s="248">
        <v>3</v>
      </c>
      <c r="E68" s="218">
        <f>ROUND($I$1*I68,1)</f>
        <v>0</v>
      </c>
      <c r="F68" s="217">
        <f>PRODUCT(D68,E68)</f>
        <v>0</v>
      </c>
      <c r="G68" s="218">
        <f>ROUND($J$1*J68,1)</f>
        <v>238.5</v>
      </c>
      <c r="H68" s="217">
        <f>PRODUCT(D68,G68)</f>
        <v>715.5</v>
      </c>
      <c r="I68" s="215">
        <v>0</v>
      </c>
      <c r="J68" s="215">
        <v>45</v>
      </c>
    </row>
    <row r="69" spans="1:16">
      <c r="A69" s="205">
        <f>(SUM(A68,1))</f>
        <v>67</v>
      </c>
      <c r="B69" s="237" t="s">
        <v>2397</v>
      </c>
      <c r="C69" s="236" t="s">
        <v>450</v>
      </c>
      <c r="D69" s="248">
        <v>22</v>
      </c>
      <c r="E69" s="218">
        <f>ROUND($I$1*I69,1)</f>
        <v>0</v>
      </c>
      <c r="F69" s="217">
        <f>PRODUCT(D69,E69)</f>
        <v>0</v>
      </c>
      <c r="G69" s="218">
        <f>ROUND($J$1*J69,1)</f>
        <v>238.5</v>
      </c>
      <c r="H69" s="217">
        <f>PRODUCT(D69,G69)</f>
        <v>5247</v>
      </c>
      <c r="I69" s="215">
        <v>0</v>
      </c>
      <c r="J69" s="215">
        <v>45</v>
      </c>
    </row>
    <row r="70" spans="1:16">
      <c r="A70" s="205">
        <f>(SUM(A69,1))</f>
        <v>68</v>
      </c>
      <c r="B70" s="237" t="s">
        <v>2396</v>
      </c>
      <c r="C70" s="236" t="s">
        <v>450</v>
      </c>
      <c r="D70" s="248">
        <v>24</v>
      </c>
      <c r="E70" s="218">
        <f>ROUND($I$1*I70,1)</f>
        <v>0</v>
      </c>
      <c r="F70" s="217">
        <f>PRODUCT(D70,E70)</f>
        <v>0</v>
      </c>
      <c r="G70" s="218">
        <f>ROUND($J$1*J70,1)</f>
        <v>238.5</v>
      </c>
      <c r="H70" s="217">
        <f>PRODUCT(D70,G70)</f>
        <v>5724</v>
      </c>
      <c r="I70" s="215">
        <v>0</v>
      </c>
      <c r="J70" s="215">
        <v>45</v>
      </c>
    </row>
    <row r="71" spans="1:16">
      <c r="A71" s="205">
        <f>(SUM(A70,1))</f>
        <v>69</v>
      </c>
      <c r="B71" s="237" t="s">
        <v>2395</v>
      </c>
      <c r="C71" s="236" t="s">
        <v>450</v>
      </c>
      <c r="D71" s="248">
        <v>2</v>
      </c>
      <c r="E71" s="218">
        <f>ROUND($I$1*I71,1)</f>
        <v>0</v>
      </c>
      <c r="F71" s="217">
        <f>PRODUCT(D71,E71)</f>
        <v>0</v>
      </c>
      <c r="G71" s="218">
        <f>ROUND($J$1*J71,1)</f>
        <v>238.5</v>
      </c>
      <c r="H71" s="217">
        <f>PRODUCT(D71,G71)</f>
        <v>477</v>
      </c>
      <c r="I71" s="215">
        <v>0</v>
      </c>
      <c r="J71" s="215">
        <v>45</v>
      </c>
    </row>
    <row r="72" spans="1:16">
      <c r="A72" s="205">
        <f>(SUM(A71,1))</f>
        <v>70</v>
      </c>
      <c r="B72" s="237" t="s">
        <v>2394</v>
      </c>
      <c r="C72" s="236" t="s">
        <v>450</v>
      </c>
      <c r="D72" s="248">
        <v>1</v>
      </c>
      <c r="E72" s="218">
        <f>ROUND($I$1*I72,1)</f>
        <v>0</v>
      </c>
      <c r="F72" s="217">
        <f>PRODUCT(D72,E72)</f>
        <v>0</v>
      </c>
      <c r="G72" s="218">
        <f>ROUND($J$1*J72,1)</f>
        <v>238.5</v>
      </c>
      <c r="H72" s="217">
        <f>PRODUCT(D72,G72)</f>
        <v>238.5</v>
      </c>
      <c r="I72" s="215">
        <v>0</v>
      </c>
      <c r="J72" s="215">
        <v>45</v>
      </c>
    </row>
    <row r="73" spans="1:16">
      <c r="A73" s="205">
        <f>(SUM(A60,1))</f>
        <v>59</v>
      </c>
      <c r="B73" s="235" t="s">
        <v>2209</v>
      </c>
      <c r="C73" s="234" t="s">
        <v>964</v>
      </c>
      <c r="D73" s="246">
        <v>160</v>
      </c>
      <c r="E73" s="218">
        <f>ROUND(I73*$I$1,1)</f>
        <v>22.1</v>
      </c>
      <c r="F73" s="247">
        <f>PRODUCT(D73,E73)</f>
        <v>3536</v>
      </c>
      <c r="G73" s="218">
        <f>ROUND(J73*$J$1,1)</f>
        <v>0</v>
      </c>
      <c r="H73" s="247">
        <f>PRODUCT(D73,G73)</f>
        <v>0</v>
      </c>
      <c r="I73" s="215">
        <v>10.5</v>
      </c>
      <c r="J73" s="215">
        <v>0</v>
      </c>
      <c r="P73" s="246">
        <v>300</v>
      </c>
    </row>
    <row r="74" spans="1:16">
      <c r="A74" s="201">
        <f>(SUM(A73,1))</f>
        <v>60</v>
      </c>
      <c r="B74" s="198"/>
      <c r="C74" s="200"/>
      <c r="D74" s="200"/>
      <c r="E74" s="200"/>
      <c r="F74" s="199">
        <f>SUM(F3:F73)</f>
        <v>1589034.4000000001</v>
      </c>
      <c r="G74" s="198"/>
      <c r="H74" s="199">
        <f>SUM(H3:H73)</f>
        <v>396408.6</v>
      </c>
    </row>
    <row r="75" spans="1:16">
      <c r="A75" s="196">
        <f>(SUM(A74,1))</f>
        <v>61</v>
      </c>
      <c r="B75" s="195" t="s">
        <v>2176</v>
      </c>
      <c r="C75" s="192"/>
      <c r="D75" s="194">
        <v>3</v>
      </c>
      <c r="E75" s="192" t="s">
        <v>565</v>
      </c>
      <c r="F75" s="213">
        <f>ROUND(F74*D75*0.01,1)</f>
        <v>47671</v>
      </c>
      <c r="G75" s="192"/>
      <c r="H75" s="191"/>
    </row>
    <row r="76" spans="1:16">
      <c r="A76" s="196">
        <f>(SUM(A75,1))</f>
        <v>62</v>
      </c>
      <c r="B76" s="195" t="s">
        <v>2175</v>
      </c>
      <c r="C76" s="192"/>
      <c r="D76" s="194">
        <v>15</v>
      </c>
      <c r="E76" s="192" t="s">
        <v>565</v>
      </c>
      <c r="F76" s="193"/>
      <c r="G76" s="192"/>
      <c r="H76" s="213">
        <f>ROUND(H74*D76*0.01,1)</f>
        <v>59461.3</v>
      </c>
    </row>
    <row r="77" spans="1:16">
      <c r="A77" s="190">
        <f>(SUM(A76,1))</f>
        <v>63</v>
      </c>
      <c r="B77" s="189" t="s">
        <v>2168</v>
      </c>
      <c r="C77" s="188"/>
      <c r="D77" s="188"/>
      <c r="E77" s="188"/>
      <c r="F77" s="187">
        <f>SUM(F74:F76)</f>
        <v>1636705.4000000001</v>
      </c>
      <c r="G77" s="212"/>
      <c r="H77" s="187">
        <f>SUM(H74:H76)</f>
        <v>455869.89999999997</v>
      </c>
    </row>
    <row r="81" spans="1:16">
      <c r="B81" s="227" t="s">
        <v>2393</v>
      </c>
      <c r="C81" s="210"/>
      <c r="D81" s="210"/>
      <c r="E81" s="299" t="s">
        <v>2173</v>
      </c>
      <c r="F81" s="299"/>
      <c r="G81" s="299" t="s">
        <v>2172</v>
      </c>
      <c r="H81" s="299"/>
      <c r="I81" s="225"/>
      <c r="J81" s="225"/>
    </row>
    <row r="82" spans="1:16">
      <c r="A82" s="209" t="s">
        <v>2171</v>
      </c>
      <c r="B82" s="226" t="s">
        <v>2170</v>
      </c>
      <c r="C82" s="207" t="s">
        <v>2185</v>
      </c>
      <c r="D82" s="206" t="s">
        <v>2184</v>
      </c>
      <c r="E82" s="207" t="s">
        <v>2183</v>
      </c>
      <c r="F82" s="206" t="s">
        <v>2169</v>
      </c>
      <c r="G82" s="207" t="s">
        <v>2183</v>
      </c>
      <c r="H82" s="206" t="s">
        <v>2169</v>
      </c>
      <c r="I82" s="178"/>
      <c r="J82" s="178"/>
    </row>
    <row r="83" spans="1:16">
      <c r="A83" s="205">
        <f>(SUM(A77,1))</f>
        <v>64</v>
      </c>
      <c r="B83" s="223" t="s">
        <v>2392</v>
      </c>
      <c r="C83" s="222" t="s">
        <v>193</v>
      </c>
      <c r="D83" s="221">
        <v>95</v>
      </c>
      <c r="E83" s="218">
        <f>ROUND(I83*$I$1,1)</f>
        <v>1680</v>
      </c>
      <c r="F83" s="217">
        <f>PRODUCT(D83,E83)</f>
        <v>159600</v>
      </c>
      <c r="G83" s="218">
        <f>ROUND(J83*$J$1,1)</f>
        <v>50.9</v>
      </c>
      <c r="H83" s="217">
        <f>PRODUCT(D83,G83)</f>
        <v>4835.5</v>
      </c>
      <c r="I83" s="215">
        <v>800</v>
      </c>
      <c r="J83" s="215">
        <v>9.6</v>
      </c>
      <c r="P83" s="221">
        <v>10</v>
      </c>
    </row>
    <row r="84" spans="1:16">
      <c r="A84" s="205">
        <f>(SUM(A83,1))</f>
        <v>65</v>
      </c>
      <c r="B84" s="223" t="s">
        <v>2391</v>
      </c>
      <c r="C84" s="222" t="s">
        <v>193</v>
      </c>
      <c r="D84" s="221">
        <v>30</v>
      </c>
      <c r="E84" s="218">
        <f>ROUND(I84*$I$1,1)</f>
        <v>819</v>
      </c>
      <c r="F84" s="217">
        <f>PRODUCT(D84,E84)</f>
        <v>24570</v>
      </c>
      <c r="G84" s="218">
        <f>ROUND(J84*$J$1,1)</f>
        <v>50.9</v>
      </c>
      <c r="H84" s="217">
        <f>PRODUCT(D84,G84)</f>
        <v>1527</v>
      </c>
      <c r="I84" s="215">
        <v>390</v>
      </c>
      <c r="J84" s="215">
        <v>9.6</v>
      </c>
    </row>
    <row r="85" spans="1:16">
      <c r="A85" s="205">
        <f>(SUM(A84,1))</f>
        <v>66</v>
      </c>
      <c r="B85" s="223" t="s">
        <v>2390</v>
      </c>
      <c r="C85" s="222" t="s">
        <v>193</v>
      </c>
      <c r="D85" s="221">
        <v>165</v>
      </c>
      <c r="E85" s="218">
        <f>ROUND(I85*$I$1,1)</f>
        <v>672</v>
      </c>
      <c r="F85" s="217">
        <f>PRODUCT(D85,E85)</f>
        <v>110880</v>
      </c>
      <c r="G85" s="218">
        <f>ROUND(J85*$J$1,1)</f>
        <v>38.200000000000003</v>
      </c>
      <c r="H85" s="217">
        <f>PRODUCT(D85,G85)</f>
        <v>6303.0000000000009</v>
      </c>
      <c r="I85" s="215">
        <v>320</v>
      </c>
      <c r="J85" s="215">
        <v>7.2</v>
      </c>
      <c r="P85" s="221">
        <v>400</v>
      </c>
    </row>
    <row r="86" spans="1:16">
      <c r="A86" s="205">
        <f>(SUM(A85,1))</f>
        <v>67</v>
      </c>
      <c r="B86" s="223" t="s">
        <v>2389</v>
      </c>
      <c r="C86" s="222" t="s">
        <v>193</v>
      </c>
      <c r="D86" s="221">
        <v>100</v>
      </c>
      <c r="E86" s="218">
        <f>ROUND(I86*$I$1,1)</f>
        <v>528.4</v>
      </c>
      <c r="F86" s="217">
        <f>PRODUCT(D86,E86)</f>
        <v>52840</v>
      </c>
      <c r="G86" s="218">
        <f>ROUND(J86*$J$1,1)</f>
        <v>38.200000000000003</v>
      </c>
      <c r="H86" s="217">
        <f>PRODUCT(D86,G86)</f>
        <v>3820.0000000000005</v>
      </c>
      <c r="I86" s="215">
        <v>251.64</v>
      </c>
      <c r="J86" s="215">
        <v>7.2</v>
      </c>
      <c r="P86" s="221">
        <v>200</v>
      </c>
    </row>
    <row r="87" spans="1:16">
      <c r="A87" s="205">
        <f>(SUM(A86,1))</f>
        <v>68</v>
      </c>
      <c r="B87" s="223" t="s">
        <v>2388</v>
      </c>
      <c r="C87" s="222" t="s">
        <v>193</v>
      </c>
      <c r="D87" s="221">
        <v>240</v>
      </c>
      <c r="E87" s="218">
        <f>ROUND(I87*$I$1,1)</f>
        <v>114.5</v>
      </c>
      <c r="F87" s="217">
        <f>PRODUCT(D87,E87)</f>
        <v>27480</v>
      </c>
      <c r="G87" s="218">
        <f>ROUND(J87*$J$1,1)</f>
        <v>27.6</v>
      </c>
      <c r="H87" s="217">
        <f>PRODUCT(D87,G87)</f>
        <v>6624</v>
      </c>
      <c r="I87" s="215">
        <v>54.5</v>
      </c>
      <c r="J87" s="215">
        <v>5.2</v>
      </c>
      <c r="P87" s="221">
        <v>700</v>
      </c>
    </row>
    <row r="88" spans="1:16">
      <c r="A88" s="205">
        <f>(SUM(A87,1))</f>
        <v>69</v>
      </c>
      <c r="B88" s="223" t="s">
        <v>2387</v>
      </c>
      <c r="C88" s="222" t="s">
        <v>193</v>
      </c>
      <c r="D88" s="221">
        <v>330</v>
      </c>
      <c r="E88" s="218">
        <f>ROUND(I88*$I$1,1)</f>
        <v>89</v>
      </c>
      <c r="F88" s="217">
        <f>PRODUCT(D88,E88)</f>
        <v>29370</v>
      </c>
      <c r="G88" s="218">
        <f>ROUND(J88*$J$1,1)</f>
        <v>27.6</v>
      </c>
      <c r="H88" s="217">
        <f>PRODUCT(D88,G88)</f>
        <v>9108</v>
      </c>
      <c r="I88" s="215">
        <v>42.38</v>
      </c>
      <c r="J88" s="215">
        <v>5.2</v>
      </c>
      <c r="P88" s="221">
        <v>360</v>
      </c>
    </row>
    <row r="89" spans="1:16">
      <c r="A89" s="205">
        <f>(SUM(A88,1))</f>
        <v>70</v>
      </c>
      <c r="B89" s="223" t="s">
        <v>2248</v>
      </c>
      <c r="C89" s="222" t="s">
        <v>193</v>
      </c>
      <c r="D89" s="221">
        <v>140</v>
      </c>
      <c r="E89" s="218">
        <f>ROUND(I89*$I$1,1)</f>
        <v>25.2</v>
      </c>
      <c r="F89" s="217">
        <f>PRODUCT(D89,E89)</f>
        <v>3528</v>
      </c>
      <c r="G89" s="218">
        <f>ROUND(J89*$J$1,1)</f>
        <v>21.7</v>
      </c>
      <c r="H89" s="217">
        <f>PRODUCT(D89,G89)</f>
        <v>3038</v>
      </c>
      <c r="I89" s="215">
        <v>12</v>
      </c>
      <c r="J89" s="215">
        <v>4.0999999999999996</v>
      </c>
      <c r="P89" s="221">
        <v>600</v>
      </c>
    </row>
    <row r="90" spans="1:16">
      <c r="A90" s="205">
        <f>(SUM(A89,1))</f>
        <v>71</v>
      </c>
      <c r="B90" s="223" t="s">
        <v>2386</v>
      </c>
      <c r="C90" s="222" t="s">
        <v>193</v>
      </c>
      <c r="D90" s="221">
        <v>180</v>
      </c>
      <c r="E90" s="218">
        <f>ROUND(I90*$I$1,1)</f>
        <v>42</v>
      </c>
      <c r="F90" s="217">
        <f>PRODUCT(D90,E90)</f>
        <v>7560</v>
      </c>
      <c r="G90" s="218">
        <f>ROUND(J90*$J$1,1)</f>
        <v>21.7</v>
      </c>
      <c r="H90" s="217">
        <f>PRODUCT(D90,G90)</f>
        <v>3906</v>
      </c>
      <c r="I90" s="215">
        <v>20</v>
      </c>
      <c r="J90" s="215">
        <v>4.0999999999999996</v>
      </c>
      <c r="P90" s="221">
        <v>400</v>
      </c>
    </row>
    <row r="91" spans="1:16">
      <c r="A91" s="205">
        <f>(SUM(A90,1))</f>
        <v>72</v>
      </c>
      <c r="B91" s="223" t="s">
        <v>2385</v>
      </c>
      <c r="C91" s="222" t="s">
        <v>193</v>
      </c>
      <c r="D91" s="221">
        <v>100</v>
      </c>
      <c r="E91" s="218">
        <f>ROUND(I91*$I$1,1)</f>
        <v>73.5</v>
      </c>
      <c r="F91" s="217">
        <f>PRODUCT(D91,E91)</f>
        <v>7350</v>
      </c>
      <c r="G91" s="218">
        <f>ROUND(J91*$J$1,1)</f>
        <v>21.7</v>
      </c>
      <c r="H91" s="217">
        <f>PRODUCT(D91,G91)</f>
        <v>2170</v>
      </c>
      <c r="I91" s="215">
        <v>35</v>
      </c>
      <c r="J91" s="215">
        <v>4.0999999999999996</v>
      </c>
      <c r="P91" s="221">
        <v>10</v>
      </c>
    </row>
    <row r="92" spans="1:16">
      <c r="A92" s="205">
        <f>(SUM(A91,1))</f>
        <v>73</v>
      </c>
      <c r="B92" s="220" t="s">
        <v>2384</v>
      </c>
      <c r="C92" s="219" t="s">
        <v>193</v>
      </c>
      <c r="D92" s="214">
        <v>420</v>
      </c>
      <c r="E92" s="218">
        <f>ROUND(I92*$I$1,1)</f>
        <v>4.9000000000000004</v>
      </c>
      <c r="F92" s="217">
        <f>PRODUCT(D92,E92)</f>
        <v>2058</v>
      </c>
      <c r="G92" s="218">
        <f>ROUND(J92*$J$1,1)</f>
        <v>6.9</v>
      </c>
      <c r="H92" s="217">
        <f>PRODUCT(D92,G92)</f>
        <v>2898</v>
      </c>
      <c r="I92" s="215">
        <v>2.3199999999999998</v>
      </c>
      <c r="J92" s="215">
        <v>1.3</v>
      </c>
      <c r="P92" s="214">
        <v>1300</v>
      </c>
    </row>
    <row r="93" spans="1:16" ht="24.75">
      <c r="A93" s="205">
        <f>(SUM(A92,1))</f>
        <v>74</v>
      </c>
      <c r="B93" s="245" t="s">
        <v>2383</v>
      </c>
      <c r="C93" s="219" t="s">
        <v>450</v>
      </c>
      <c r="D93" s="221">
        <v>1</v>
      </c>
      <c r="E93" s="218">
        <f>ROUND(I93*$I$1,1)</f>
        <v>22050</v>
      </c>
      <c r="F93" s="217">
        <f>PRODUCT(D93,E93)</f>
        <v>22050</v>
      </c>
      <c r="G93" s="218">
        <f>ROUND(J93*$J$1,1)</f>
        <v>2650</v>
      </c>
      <c r="H93" s="217">
        <f>PRODUCT(D93,G93)</f>
        <v>2650</v>
      </c>
      <c r="I93" s="215">
        <v>10500</v>
      </c>
      <c r="J93" s="215">
        <v>500</v>
      </c>
      <c r="P93" s="214">
        <v>1</v>
      </c>
    </row>
    <row r="94" spans="1:16">
      <c r="A94" s="205">
        <f>(SUM(A93,1))</f>
        <v>75</v>
      </c>
      <c r="B94" s="220" t="s">
        <v>2382</v>
      </c>
      <c r="C94" s="219" t="s">
        <v>450</v>
      </c>
      <c r="D94" s="214">
        <v>3</v>
      </c>
      <c r="E94" s="218">
        <f>ROUND($I$1*I94,1)</f>
        <v>7350</v>
      </c>
      <c r="F94" s="217">
        <f>PRODUCT(D94,E94)</f>
        <v>22050</v>
      </c>
      <c r="G94" s="218">
        <f>ROUND($J$1*J94,1)</f>
        <v>1484</v>
      </c>
      <c r="H94" s="217">
        <f>PRODUCT(D94,G94)</f>
        <v>4452</v>
      </c>
      <c r="I94" s="215">
        <v>3500</v>
      </c>
      <c r="J94" s="215">
        <v>280</v>
      </c>
      <c r="P94" s="214">
        <v>6</v>
      </c>
    </row>
    <row r="95" spans="1:16">
      <c r="A95" s="205">
        <f>(SUM(A94,1))</f>
        <v>76</v>
      </c>
      <c r="B95" s="220" t="s">
        <v>2381</v>
      </c>
      <c r="C95" s="219" t="s">
        <v>450</v>
      </c>
      <c r="D95" s="214">
        <v>1</v>
      </c>
      <c r="E95" s="218">
        <f>ROUND($I$1*I95,1)</f>
        <v>0</v>
      </c>
      <c r="F95" s="217">
        <f>PRODUCT(D95,E95)</f>
        <v>0</v>
      </c>
      <c r="G95" s="218">
        <f>ROUND($J$1*J95,1)</f>
        <v>238.5</v>
      </c>
      <c r="H95" s="217">
        <f>PRODUCT(D95,G95)</f>
        <v>238.5</v>
      </c>
      <c r="I95" s="215">
        <v>0</v>
      </c>
      <c r="J95" s="215">
        <v>45</v>
      </c>
      <c r="P95" s="214">
        <v>2</v>
      </c>
    </row>
    <row r="96" spans="1:16">
      <c r="A96" s="205">
        <f>(SUM(A95,1))</f>
        <v>77</v>
      </c>
      <c r="B96" s="220" t="s">
        <v>2380</v>
      </c>
      <c r="C96" s="219" t="s">
        <v>450</v>
      </c>
      <c r="D96" s="221">
        <v>4</v>
      </c>
      <c r="E96" s="218">
        <f>ROUND(I96*$I$1,1)</f>
        <v>0</v>
      </c>
      <c r="F96" s="217">
        <f>PRODUCT(D96,E96)</f>
        <v>0</v>
      </c>
      <c r="G96" s="218">
        <f>ROUND(J96*$J$1,1)</f>
        <v>310.10000000000002</v>
      </c>
      <c r="H96" s="217">
        <f>PRODUCT(D96,G96)</f>
        <v>1240.4000000000001</v>
      </c>
      <c r="I96" s="215">
        <v>0</v>
      </c>
      <c r="J96" s="215">
        <v>58.5</v>
      </c>
      <c r="P96" s="214">
        <v>6</v>
      </c>
    </row>
    <row r="97" spans="1:16">
      <c r="A97" s="205">
        <f>(SUM(A96,1))</f>
        <v>78</v>
      </c>
      <c r="B97" s="220" t="s">
        <v>2379</v>
      </c>
      <c r="C97" s="219" t="s">
        <v>450</v>
      </c>
      <c r="D97" s="214">
        <v>2</v>
      </c>
      <c r="E97" s="218">
        <f>ROUND(I97*$I$1,1)</f>
        <v>0</v>
      </c>
      <c r="F97" s="217">
        <f>PRODUCT(D97,E97)</f>
        <v>0</v>
      </c>
      <c r="G97" s="218">
        <f>ROUND(J97*$J$1,1)</f>
        <v>148.4</v>
      </c>
      <c r="H97" s="217">
        <f>PRODUCT(D97,G97)</f>
        <v>296.8</v>
      </c>
      <c r="I97" s="215">
        <v>0</v>
      </c>
      <c r="J97" s="215">
        <v>28</v>
      </c>
      <c r="P97" s="214">
        <v>15</v>
      </c>
    </row>
    <row r="98" spans="1:16">
      <c r="A98" s="205">
        <f>(SUM(A97,1))</f>
        <v>79</v>
      </c>
      <c r="B98" s="224" t="s">
        <v>2378</v>
      </c>
      <c r="C98" s="219" t="s">
        <v>450</v>
      </c>
      <c r="D98" s="214">
        <v>12</v>
      </c>
      <c r="E98" s="218">
        <f>ROUND(I98*$I$1,1)</f>
        <v>0</v>
      </c>
      <c r="F98" s="217">
        <f>PRODUCT(D98,E98)</f>
        <v>0</v>
      </c>
      <c r="G98" s="218">
        <f>ROUND(J98*$J$1,1)</f>
        <v>92.2</v>
      </c>
      <c r="H98" s="217">
        <f>PRODUCT(D98,G98)</f>
        <v>1106.4000000000001</v>
      </c>
      <c r="I98" s="216">
        <v>0</v>
      </c>
      <c r="J98" s="215">
        <v>17.399999999999999</v>
      </c>
      <c r="P98" s="214">
        <v>16</v>
      </c>
    </row>
    <row r="99" spans="1:16">
      <c r="A99" s="201">
        <f>(SUM(A98,1))</f>
        <v>80</v>
      </c>
      <c r="B99" s="198"/>
      <c r="C99" s="200"/>
      <c r="D99" s="200"/>
      <c r="E99" s="200"/>
      <c r="F99" s="199">
        <f>SUM(F83:F98)</f>
        <v>469336</v>
      </c>
      <c r="G99" s="198"/>
      <c r="H99" s="199">
        <f>SUM(H83:H98)</f>
        <v>54213.600000000006</v>
      </c>
    </row>
    <row r="100" spans="1:16">
      <c r="A100" s="196">
        <f>(SUM(A99,1))</f>
        <v>81</v>
      </c>
      <c r="B100" s="195" t="s">
        <v>2176</v>
      </c>
      <c r="C100" s="192"/>
      <c r="D100" s="194">
        <v>3</v>
      </c>
      <c r="E100" s="192" t="s">
        <v>565</v>
      </c>
      <c r="F100" s="213">
        <f>ROUND(F99*D100*0.01,1)</f>
        <v>14080.1</v>
      </c>
      <c r="G100" s="192"/>
      <c r="H100" s="191"/>
    </row>
    <row r="101" spans="1:16">
      <c r="A101" s="196">
        <f>(SUM(A100,1))</f>
        <v>82</v>
      </c>
      <c r="B101" s="195" t="s">
        <v>2175</v>
      </c>
      <c r="C101" s="192"/>
      <c r="D101" s="194">
        <v>6</v>
      </c>
      <c r="E101" s="192" t="s">
        <v>565</v>
      </c>
      <c r="F101" s="193"/>
      <c r="G101" s="192"/>
      <c r="H101" s="213">
        <f>ROUND(H99*D101*0.01,1)</f>
        <v>3252.8</v>
      </c>
    </row>
    <row r="102" spans="1:16">
      <c r="A102" s="190">
        <f>(SUM(A101,1))</f>
        <v>83</v>
      </c>
      <c r="B102" s="189" t="s">
        <v>2168</v>
      </c>
      <c r="C102" s="188"/>
      <c r="D102" s="188"/>
      <c r="E102" s="188"/>
      <c r="F102" s="187">
        <f>SUM(F99:F101)</f>
        <v>483416.1</v>
      </c>
      <c r="G102" s="212"/>
      <c r="H102" s="187">
        <f>SUM(H99:H101)</f>
        <v>57466.400000000009</v>
      </c>
    </row>
    <row r="103" spans="1:16">
      <c r="B103" s="229"/>
      <c r="C103" s="192"/>
      <c r="D103" s="192"/>
      <c r="E103" s="192"/>
      <c r="F103" s="228"/>
      <c r="G103" s="192"/>
      <c r="H103" s="228"/>
    </row>
    <row r="104" spans="1:16">
      <c r="B104" s="229"/>
      <c r="C104" s="192"/>
      <c r="D104" s="192"/>
      <c r="E104" s="192"/>
      <c r="F104" s="228"/>
      <c r="G104" s="192"/>
      <c r="H104" s="228"/>
    </row>
    <row r="105" spans="1:16">
      <c r="B105" s="229"/>
      <c r="C105" s="192"/>
      <c r="D105" s="192"/>
      <c r="E105" s="192"/>
      <c r="F105" s="228"/>
      <c r="G105" s="192"/>
      <c r="H105" s="228"/>
    </row>
    <row r="106" spans="1:16">
      <c r="B106" s="227" t="s">
        <v>2377</v>
      </c>
      <c r="C106" s="210"/>
      <c r="D106" s="210"/>
      <c r="E106" s="299" t="s">
        <v>2173</v>
      </c>
      <c r="F106" s="299"/>
      <c r="G106" s="299" t="s">
        <v>2172</v>
      </c>
      <c r="H106" s="299"/>
      <c r="I106" s="215">
        <v>1.2</v>
      </c>
    </row>
    <row r="107" spans="1:16">
      <c r="A107" s="209" t="s">
        <v>2171</v>
      </c>
      <c r="B107" s="226" t="s">
        <v>2170</v>
      </c>
      <c r="C107" s="207" t="s">
        <v>2185</v>
      </c>
      <c r="D107" s="206" t="s">
        <v>2184</v>
      </c>
      <c r="E107" s="207" t="s">
        <v>2183</v>
      </c>
      <c r="F107" s="206" t="s">
        <v>2169</v>
      </c>
      <c r="G107" s="207" t="s">
        <v>2183</v>
      </c>
      <c r="H107" s="206" t="s">
        <v>2169</v>
      </c>
      <c r="I107" s="225"/>
    </row>
    <row r="108" spans="1:16" ht="16.5">
      <c r="A108" s="205">
        <f>(SUM(A102,1))</f>
        <v>84</v>
      </c>
      <c r="B108" s="224" t="s">
        <v>2376</v>
      </c>
      <c r="C108" s="219" t="s">
        <v>450</v>
      </c>
      <c r="D108" s="214">
        <v>1</v>
      </c>
      <c r="E108" s="218">
        <f>ROUND($I$246*I108,1)</f>
        <v>9336.7000000000007</v>
      </c>
      <c r="F108" s="217">
        <f>PRODUCT(D108,E108)</f>
        <v>9336.7000000000007</v>
      </c>
      <c r="G108" s="218">
        <f>ROUND($J$1*J108,1)</f>
        <v>795</v>
      </c>
      <c r="H108" s="217">
        <f>PRODUCT(D108,G108)</f>
        <v>795</v>
      </c>
      <c r="I108" s="215">
        <f>9414.51/1.21</f>
        <v>7780.5867768595044</v>
      </c>
      <c r="J108" s="215">
        <v>150</v>
      </c>
      <c r="P108" s="214">
        <v>1</v>
      </c>
    </row>
    <row r="109" spans="1:16">
      <c r="A109" s="205">
        <f>(SUM(A108,1))</f>
        <v>85</v>
      </c>
      <c r="B109" s="230" t="s">
        <v>2352</v>
      </c>
      <c r="C109" s="219" t="s">
        <v>450</v>
      </c>
      <c r="D109" s="214">
        <v>1</v>
      </c>
      <c r="E109" s="218">
        <f>ROUND($I$246*I109,1)</f>
        <v>2380.8000000000002</v>
      </c>
      <c r="F109" s="217">
        <f>PRODUCT(D109,E109)</f>
        <v>2380.8000000000002</v>
      </c>
      <c r="G109" s="218">
        <f>ROUND($J$1*J109,1)</f>
        <v>180.2</v>
      </c>
      <c r="H109" s="217">
        <f>PRODUCT(D109,G109)</f>
        <v>180.2</v>
      </c>
      <c r="I109" s="216">
        <v>1984</v>
      </c>
      <c r="J109" s="215">
        <v>34</v>
      </c>
      <c r="P109" s="214">
        <v>1</v>
      </c>
    </row>
    <row r="110" spans="1:16">
      <c r="A110" s="205">
        <f>(SUM(A109,1))</f>
        <v>86</v>
      </c>
      <c r="B110" s="224" t="s">
        <v>2343</v>
      </c>
      <c r="C110" s="219" t="s">
        <v>450</v>
      </c>
      <c r="D110" s="214">
        <v>1</v>
      </c>
      <c r="E110" s="218">
        <f>ROUND($I$246*I110,1)</f>
        <v>13116</v>
      </c>
      <c r="F110" s="217">
        <f>PRODUCT(D110,E110)</f>
        <v>13116</v>
      </c>
      <c r="G110" s="218">
        <f>ROUND($J$1*J110,1)</f>
        <v>360.4</v>
      </c>
      <c r="H110" s="217">
        <f>PRODUCT(D110,G110)</f>
        <v>360.4</v>
      </c>
      <c r="I110" s="216">
        <v>10930</v>
      </c>
      <c r="J110" s="215">
        <v>68</v>
      </c>
      <c r="P110" s="214">
        <v>1</v>
      </c>
    </row>
    <row r="111" spans="1:16">
      <c r="A111" s="205">
        <f>(SUM(A110,1))</f>
        <v>87</v>
      </c>
      <c r="B111" s="224" t="s">
        <v>2375</v>
      </c>
      <c r="C111" s="219" t="s">
        <v>450</v>
      </c>
      <c r="D111" s="214">
        <v>1</v>
      </c>
      <c r="E111" s="218">
        <f>ROUND($I$246*I111,1)</f>
        <v>2666.4</v>
      </c>
      <c r="F111" s="217">
        <f>PRODUCT(D111,E111)</f>
        <v>2666.4</v>
      </c>
      <c r="G111" s="218">
        <f>ROUND($J$1*J111,1)</f>
        <v>291.5</v>
      </c>
      <c r="H111" s="217">
        <f>PRODUCT(D111,G111)</f>
        <v>291.5</v>
      </c>
      <c r="I111" s="216">
        <v>2222</v>
      </c>
      <c r="J111" s="215">
        <v>55</v>
      </c>
    </row>
    <row r="112" spans="1:16">
      <c r="A112" s="205">
        <f>(SUM(A111,1))</f>
        <v>88</v>
      </c>
      <c r="B112" s="224" t="s">
        <v>2374</v>
      </c>
      <c r="C112" s="219" t="s">
        <v>450</v>
      </c>
      <c r="D112" s="214">
        <v>2</v>
      </c>
      <c r="E112" s="218">
        <f>ROUND($I$246*I112,1)</f>
        <v>2230.8000000000002</v>
      </c>
      <c r="F112" s="217">
        <f>PRODUCT(D112,E112)</f>
        <v>4461.6000000000004</v>
      </c>
      <c r="G112" s="218">
        <f>ROUND($J$1*J112,1)</f>
        <v>291.5</v>
      </c>
      <c r="H112" s="217">
        <f>PRODUCT(D112,G112)</f>
        <v>583</v>
      </c>
      <c r="I112" s="216">
        <v>1859</v>
      </c>
      <c r="J112" s="215">
        <v>55</v>
      </c>
      <c r="P112" s="214">
        <v>1</v>
      </c>
    </row>
    <row r="113" spans="1:16">
      <c r="A113" s="205">
        <f>(SUM(A112,1))</f>
        <v>89</v>
      </c>
      <c r="B113" s="224" t="s">
        <v>2342</v>
      </c>
      <c r="C113" s="219" t="s">
        <v>450</v>
      </c>
      <c r="D113" s="214">
        <v>3</v>
      </c>
      <c r="E113" s="218">
        <f>ROUND($I$246*I113,1)</f>
        <v>1237.2</v>
      </c>
      <c r="F113" s="217">
        <f>PRODUCT(D113,E113)</f>
        <v>3711.6000000000004</v>
      </c>
      <c r="G113" s="218">
        <f>ROUND($J$1*J113,1)</f>
        <v>180.2</v>
      </c>
      <c r="H113" s="217">
        <f>PRODUCT(D113,G113)</f>
        <v>540.59999999999991</v>
      </c>
      <c r="I113" s="216">
        <v>1031</v>
      </c>
      <c r="J113" s="215">
        <v>34</v>
      </c>
      <c r="P113" s="214">
        <v>3</v>
      </c>
    </row>
    <row r="114" spans="1:16">
      <c r="A114" s="205">
        <f>(SUM(A113,1))</f>
        <v>90</v>
      </c>
      <c r="B114" s="224" t="s">
        <v>2373</v>
      </c>
      <c r="C114" s="219" t="s">
        <v>450</v>
      </c>
      <c r="D114" s="214">
        <v>2</v>
      </c>
      <c r="E114" s="218">
        <f>ROUND($I$246*I114,1)</f>
        <v>1023.6</v>
      </c>
      <c r="F114" s="217">
        <f>PRODUCT(D114,E114)</f>
        <v>2047.2</v>
      </c>
      <c r="G114" s="218">
        <f>ROUND($J$1*J114,1)</f>
        <v>180.2</v>
      </c>
      <c r="H114" s="217">
        <f>PRODUCT(D114,G114)</f>
        <v>360.4</v>
      </c>
      <c r="I114" s="216">
        <v>853</v>
      </c>
      <c r="J114" s="215">
        <v>34</v>
      </c>
      <c r="P114" s="214">
        <v>3</v>
      </c>
    </row>
    <row r="115" spans="1:16">
      <c r="A115" s="205">
        <f>(SUM(A114,1))</f>
        <v>91</v>
      </c>
      <c r="B115" s="224" t="s">
        <v>2351</v>
      </c>
      <c r="C115" s="219" t="s">
        <v>450</v>
      </c>
      <c r="D115" s="214">
        <v>5</v>
      </c>
      <c r="E115" s="218">
        <f>ROUND($I$246*I115,1)</f>
        <v>696</v>
      </c>
      <c r="F115" s="217">
        <f>PRODUCT(D115,E115)</f>
        <v>3480</v>
      </c>
      <c r="G115" s="218">
        <f>ROUND($J$1*J115,1)</f>
        <v>180.2</v>
      </c>
      <c r="H115" s="217">
        <f>PRODUCT(D115,G115)</f>
        <v>901</v>
      </c>
      <c r="I115" s="216">
        <v>580</v>
      </c>
      <c r="J115" s="215">
        <v>34</v>
      </c>
      <c r="P115" s="214">
        <v>5</v>
      </c>
    </row>
    <row r="116" spans="1:16">
      <c r="A116" s="205">
        <f>(SUM(A115,1))</f>
        <v>92</v>
      </c>
      <c r="B116" s="224" t="s">
        <v>2350</v>
      </c>
      <c r="C116" s="219" t="s">
        <v>450</v>
      </c>
      <c r="D116" s="214">
        <v>15</v>
      </c>
      <c r="E116" s="218">
        <f>ROUND($I$246*I116,1)</f>
        <v>187.2</v>
      </c>
      <c r="F116" s="217">
        <f>PRODUCT(D116,E116)</f>
        <v>2808</v>
      </c>
      <c r="G116" s="218">
        <f>ROUND($J$1*J116,1)</f>
        <v>90.1</v>
      </c>
      <c r="H116" s="217">
        <f>PRODUCT(D116,G116)</f>
        <v>1351.5</v>
      </c>
      <c r="I116" s="216">
        <v>156</v>
      </c>
      <c r="J116" s="215">
        <v>17</v>
      </c>
      <c r="P116" s="214">
        <v>15</v>
      </c>
    </row>
    <row r="117" spans="1:16">
      <c r="A117" s="205">
        <f>(SUM(A116,1))</f>
        <v>93</v>
      </c>
      <c r="B117" s="224" t="s">
        <v>2339</v>
      </c>
      <c r="C117" s="219" t="s">
        <v>450</v>
      </c>
      <c r="D117" s="214">
        <v>11</v>
      </c>
      <c r="E117" s="218">
        <f>ROUND($I$246*I117,1)</f>
        <v>225.6</v>
      </c>
      <c r="F117" s="217">
        <f>PRODUCT(D117,E117)</f>
        <v>2481.6</v>
      </c>
      <c r="G117" s="218">
        <f>ROUND($J$1*J117,1)</f>
        <v>90.1</v>
      </c>
      <c r="H117" s="217">
        <f>PRODUCT(D117,G117)</f>
        <v>991.09999999999991</v>
      </c>
      <c r="I117" s="216">
        <v>188</v>
      </c>
      <c r="J117" s="215">
        <v>17</v>
      </c>
      <c r="P117" s="214">
        <v>11</v>
      </c>
    </row>
    <row r="118" spans="1:16">
      <c r="A118" s="205">
        <f>(SUM(A117,1))</f>
        <v>94</v>
      </c>
      <c r="B118" s="224" t="s">
        <v>2358</v>
      </c>
      <c r="C118" s="219" t="s">
        <v>450</v>
      </c>
      <c r="D118" s="214">
        <v>4</v>
      </c>
      <c r="E118" s="218">
        <f>ROUND($I$246*I118,1)</f>
        <v>2059.1999999999998</v>
      </c>
      <c r="F118" s="217">
        <f>PRODUCT(D118,E118)</f>
        <v>8236.7999999999993</v>
      </c>
      <c r="G118" s="218">
        <f>ROUND($J$1*J118,1)</f>
        <v>180.2</v>
      </c>
      <c r="H118" s="217">
        <f>PRODUCT(D118,G118)</f>
        <v>720.8</v>
      </c>
      <c r="I118" s="216">
        <v>1716</v>
      </c>
      <c r="J118" s="215">
        <v>34</v>
      </c>
      <c r="P118" s="214">
        <v>4</v>
      </c>
    </row>
    <row r="119" spans="1:16">
      <c r="A119" s="205">
        <f>(SUM(A118,1))</f>
        <v>95</v>
      </c>
      <c r="B119" s="224" t="s">
        <v>2357</v>
      </c>
      <c r="C119" s="219" t="s">
        <v>450</v>
      </c>
      <c r="D119" s="214">
        <v>10</v>
      </c>
      <c r="E119" s="218">
        <f>ROUND($I$246*I119,1)</f>
        <v>2676</v>
      </c>
      <c r="F119" s="217">
        <f>PRODUCT(D119,E119)</f>
        <v>26760</v>
      </c>
      <c r="G119" s="218">
        <f>ROUND($J$1*J119,1)</f>
        <v>180.2</v>
      </c>
      <c r="H119" s="217">
        <f>PRODUCT(D119,G119)</f>
        <v>1802</v>
      </c>
      <c r="I119" s="216">
        <v>2230</v>
      </c>
      <c r="J119" s="215">
        <v>34</v>
      </c>
      <c r="P119" s="214">
        <v>10</v>
      </c>
    </row>
    <row r="120" spans="1:16">
      <c r="A120" s="205">
        <f>(SUM(A119,1))</f>
        <v>96</v>
      </c>
      <c r="B120" s="224" t="s">
        <v>2356</v>
      </c>
      <c r="C120" s="219" t="s">
        <v>450</v>
      </c>
      <c r="D120" s="214">
        <v>38</v>
      </c>
      <c r="E120" s="218">
        <f>ROUND($I$246*I120,1)</f>
        <v>2473.1999999999998</v>
      </c>
      <c r="F120" s="217">
        <f>PRODUCT(D120,E120)</f>
        <v>93981.599999999991</v>
      </c>
      <c r="G120" s="218">
        <f>ROUND($J$1*J120,1)</f>
        <v>180.2</v>
      </c>
      <c r="H120" s="217">
        <f>PRODUCT(D120,G120)</f>
        <v>6847.5999999999995</v>
      </c>
      <c r="I120" s="216">
        <v>2061</v>
      </c>
      <c r="J120" s="215">
        <v>34</v>
      </c>
      <c r="P120" s="214">
        <v>38</v>
      </c>
    </row>
    <row r="121" spans="1:16">
      <c r="A121" s="205">
        <f>(SUM(A120,1))</f>
        <v>97</v>
      </c>
      <c r="B121" s="224" t="s">
        <v>2372</v>
      </c>
      <c r="C121" s="219" t="s">
        <v>450</v>
      </c>
      <c r="D121" s="214">
        <v>1</v>
      </c>
      <c r="E121" s="218">
        <f>ROUND($I$246*I121,1)</f>
        <v>3120</v>
      </c>
      <c r="F121" s="217">
        <f>PRODUCT(D121,E121)</f>
        <v>3120</v>
      </c>
      <c r="G121" s="218">
        <f>ROUND(J121*$J$1,1)</f>
        <v>180.2</v>
      </c>
      <c r="H121" s="244">
        <f>PRODUCT(D121,G121)</f>
        <v>180.2</v>
      </c>
      <c r="I121" s="216">
        <v>2600</v>
      </c>
      <c r="J121" s="215">
        <v>34</v>
      </c>
      <c r="P121" s="214">
        <v>1</v>
      </c>
    </row>
    <row r="122" spans="1:16">
      <c r="A122" s="205">
        <f>(SUM(A121,1))</f>
        <v>98</v>
      </c>
      <c r="B122" s="224" t="s">
        <v>2371</v>
      </c>
      <c r="C122" s="219" t="s">
        <v>450</v>
      </c>
      <c r="D122" s="214">
        <v>1</v>
      </c>
      <c r="E122" s="218">
        <f>ROUND($I$246*I122,1)</f>
        <v>120</v>
      </c>
      <c r="F122" s="217">
        <f>PRODUCT(D122,E122)</f>
        <v>120</v>
      </c>
      <c r="G122" s="218">
        <f>ROUND(J122*$J$1,1)</f>
        <v>95.4</v>
      </c>
      <c r="H122" s="244">
        <f>PRODUCT(D122,G122)</f>
        <v>95.4</v>
      </c>
      <c r="I122" s="215">
        <v>100</v>
      </c>
      <c r="J122" s="215">
        <v>18</v>
      </c>
    </row>
    <row r="123" spans="1:16">
      <c r="A123" s="205">
        <f>(SUM(A122,1))</f>
        <v>99</v>
      </c>
      <c r="B123" s="224" t="s">
        <v>2370</v>
      </c>
      <c r="C123" s="219" t="s">
        <v>450</v>
      </c>
      <c r="D123" s="214">
        <v>1</v>
      </c>
      <c r="E123" s="218">
        <f>ROUND($I$246*I123,1)</f>
        <v>2666.2</v>
      </c>
      <c r="F123" s="217">
        <f>PRODUCT(D123,E123)</f>
        <v>2666.2</v>
      </c>
      <c r="G123" s="218">
        <f>ROUND(J123*$J$1,1)</f>
        <v>344.5</v>
      </c>
      <c r="H123" s="244">
        <f>PRODUCT(D123,G123)</f>
        <v>344.5</v>
      </c>
      <c r="I123" s="215">
        <f>2688.45/1.21</f>
        <v>2221.8595041322315</v>
      </c>
      <c r="J123" s="215">
        <v>65</v>
      </c>
    </row>
    <row r="124" spans="1:16">
      <c r="A124" s="205">
        <f>(SUM(A123,1))</f>
        <v>100</v>
      </c>
      <c r="B124" s="224" t="s">
        <v>2369</v>
      </c>
      <c r="C124" s="219" t="s">
        <v>450</v>
      </c>
      <c r="D124" s="214">
        <v>1</v>
      </c>
      <c r="E124" s="218">
        <f>ROUND($I$246*I124,1)</f>
        <v>7058.4</v>
      </c>
      <c r="F124" s="217">
        <f>PRODUCT(D124,E124)</f>
        <v>7058.4</v>
      </c>
      <c r="G124" s="218">
        <f>ROUND(J124*$J$1,1)</f>
        <v>291.5</v>
      </c>
      <c r="H124" s="244">
        <f>PRODUCT(D124,G124)</f>
        <v>291.5</v>
      </c>
      <c r="I124" s="215">
        <v>5882</v>
      </c>
      <c r="J124" s="215">
        <v>55</v>
      </c>
    </row>
    <row r="125" spans="1:16">
      <c r="A125" s="205">
        <f>(SUM(A124,1))</f>
        <v>101</v>
      </c>
      <c r="B125" s="224" t="s">
        <v>2368</v>
      </c>
      <c r="C125" s="219" t="s">
        <v>450</v>
      </c>
      <c r="D125" s="214">
        <v>3</v>
      </c>
      <c r="E125" s="218">
        <f>ROUND($I$246*I125,1)</f>
        <v>894</v>
      </c>
      <c r="F125" s="217">
        <f>PRODUCT(D125,E125)</f>
        <v>2682</v>
      </c>
      <c r="G125" s="218">
        <f>ROUND(J125*$J$1,1)</f>
        <v>106</v>
      </c>
      <c r="H125" s="244">
        <f>PRODUCT(D125,G125)</f>
        <v>318</v>
      </c>
      <c r="I125" s="215">
        <v>745</v>
      </c>
      <c r="J125" s="215">
        <v>20</v>
      </c>
    </row>
    <row r="126" spans="1:16">
      <c r="A126" s="205">
        <f>(SUM(A125,1))</f>
        <v>102</v>
      </c>
      <c r="B126" s="224" t="s">
        <v>2355</v>
      </c>
      <c r="C126" s="219" t="s">
        <v>450</v>
      </c>
      <c r="D126" s="214">
        <v>1</v>
      </c>
      <c r="E126" s="218">
        <f>ROUND($I$246*I126,1)</f>
        <v>46800</v>
      </c>
      <c r="F126" s="217">
        <f>PRODUCT(D126,E126)</f>
        <v>46800</v>
      </c>
      <c r="G126" s="218">
        <f>ROUND(J126*$J$1,1)</f>
        <v>530</v>
      </c>
      <c r="H126" s="244">
        <f>PRODUCT(D126,G126)</f>
        <v>530</v>
      </c>
      <c r="I126" s="216">
        <v>39000</v>
      </c>
      <c r="J126" s="215">
        <v>100</v>
      </c>
      <c r="P126" s="214">
        <v>1</v>
      </c>
    </row>
    <row r="127" spans="1:16">
      <c r="A127" s="205">
        <f>(SUM(A126,1))</f>
        <v>103</v>
      </c>
      <c r="B127" s="224" t="s">
        <v>2367</v>
      </c>
      <c r="C127" s="219" t="s">
        <v>450</v>
      </c>
      <c r="D127" s="214">
        <v>1</v>
      </c>
      <c r="E127" s="218">
        <f>ROUND($I$246*I127,1)</f>
        <v>0</v>
      </c>
      <c r="F127" s="217">
        <f>PRODUCT(D127,E127)</f>
        <v>0</v>
      </c>
      <c r="G127" s="218">
        <f>ROUND(J127*$J$1,1)</f>
        <v>310.10000000000002</v>
      </c>
      <c r="H127" s="217">
        <f>PRODUCT(D127,G127)</f>
        <v>310.10000000000002</v>
      </c>
      <c r="I127" s="216">
        <v>0</v>
      </c>
      <c r="J127" s="215">
        <v>58.5</v>
      </c>
      <c r="P127" s="214">
        <v>1</v>
      </c>
    </row>
    <row r="128" spans="1:16">
      <c r="A128" s="205">
        <f>(SUM(A127,1))</f>
        <v>104</v>
      </c>
      <c r="B128" s="224" t="s">
        <v>2337</v>
      </c>
      <c r="C128" s="219" t="s">
        <v>450</v>
      </c>
      <c r="D128" s="214">
        <v>3</v>
      </c>
      <c r="E128" s="218">
        <f>ROUND($I$246*I128,1)</f>
        <v>0</v>
      </c>
      <c r="F128" s="217">
        <f>PRODUCT(D128,E128)</f>
        <v>0</v>
      </c>
      <c r="G128" s="218">
        <f>ROUND(J128*$J$1,1)</f>
        <v>148.4</v>
      </c>
      <c r="H128" s="217">
        <f>PRODUCT(D128,G128)</f>
        <v>445.20000000000005</v>
      </c>
      <c r="I128" s="216">
        <v>0</v>
      </c>
      <c r="J128" s="215">
        <v>28</v>
      </c>
      <c r="P128" s="214">
        <v>1</v>
      </c>
    </row>
    <row r="129" spans="1:16">
      <c r="A129" s="205">
        <f>(SUM(A128,1))</f>
        <v>105</v>
      </c>
      <c r="B129" s="224" t="s">
        <v>2336</v>
      </c>
      <c r="C129" s="219" t="s">
        <v>450</v>
      </c>
      <c r="D129" s="214">
        <v>72</v>
      </c>
      <c r="E129" s="218">
        <f>ROUND($I$246*I129,1)</f>
        <v>0</v>
      </c>
      <c r="F129" s="217">
        <f>PRODUCT(D129,E129)</f>
        <v>0</v>
      </c>
      <c r="G129" s="218">
        <f>ROUND($J$1*J129,1)</f>
        <v>92.2</v>
      </c>
      <c r="H129" s="217">
        <f>PRODUCT(D129,G129)</f>
        <v>6638.4000000000005</v>
      </c>
      <c r="I129" s="216">
        <v>0</v>
      </c>
      <c r="J129" s="215">
        <v>17.399999999999999</v>
      </c>
      <c r="P129" s="214">
        <v>72</v>
      </c>
    </row>
    <row r="130" spans="1:16">
      <c r="A130" s="205">
        <f>(SUM(A129,1))</f>
        <v>106</v>
      </c>
      <c r="B130" s="224" t="s">
        <v>2335</v>
      </c>
      <c r="C130" s="219" t="s">
        <v>2177</v>
      </c>
      <c r="D130" s="214">
        <v>1</v>
      </c>
      <c r="E130" s="218">
        <f>ROUND($I$246*I130,1)</f>
        <v>7800</v>
      </c>
      <c r="F130" s="217">
        <f>PRODUCT(D130,E130)</f>
        <v>7800</v>
      </c>
      <c r="G130" s="218">
        <f>ROUND($J$1*J130,1)</f>
        <v>3445</v>
      </c>
      <c r="H130" s="217">
        <f>PRODUCT(D130,G130)</f>
        <v>3445</v>
      </c>
      <c r="I130" s="216">
        <v>6500</v>
      </c>
      <c r="J130" s="215">
        <v>650</v>
      </c>
      <c r="P130" s="214">
        <v>1</v>
      </c>
    </row>
    <row r="131" spans="1:16">
      <c r="A131" s="201">
        <f>(SUM(A130,1))</f>
        <v>107</v>
      </c>
      <c r="B131" s="198"/>
      <c r="C131" s="200"/>
      <c r="D131" s="200"/>
      <c r="E131" s="200"/>
      <c r="F131" s="199">
        <f>SUM(F108:F130)</f>
        <v>245714.9</v>
      </c>
      <c r="G131" s="198"/>
      <c r="H131" s="199">
        <f>SUM(H108:H130)</f>
        <v>28323.399999999998</v>
      </c>
    </row>
    <row r="132" spans="1:16">
      <c r="A132" s="196">
        <f>(SUM(A131,1))</f>
        <v>108</v>
      </c>
      <c r="B132" s="195" t="s">
        <v>2176</v>
      </c>
      <c r="C132" s="192"/>
      <c r="D132" s="194">
        <v>3</v>
      </c>
      <c r="E132" s="192" t="s">
        <v>565</v>
      </c>
      <c r="F132" s="213">
        <f>ROUND(F131*D132*0.01,1)</f>
        <v>7371.4</v>
      </c>
      <c r="G132" s="192"/>
      <c r="H132" s="191"/>
    </row>
    <row r="133" spans="1:16">
      <c r="A133" s="196">
        <f>(SUM(A132,1))</f>
        <v>109</v>
      </c>
      <c r="B133" s="195" t="s">
        <v>2175</v>
      </c>
      <c r="C133" s="192"/>
      <c r="D133" s="194">
        <v>0</v>
      </c>
      <c r="E133" s="192" t="s">
        <v>565</v>
      </c>
      <c r="F133" s="193"/>
      <c r="G133" s="192"/>
      <c r="H133" s="213">
        <f>ROUND(H131*D133*0.01,1)</f>
        <v>0</v>
      </c>
    </row>
    <row r="134" spans="1:16">
      <c r="A134" s="190">
        <f>(SUM(A133,1))</f>
        <v>110</v>
      </c>
      <c r="B134" s="189" t="s">
        <v>2168</v>
      </c>
      <c r="C134" s="188"/>
      <c r="D134" s="188"/>
      <c r="E134" s="188"/>
      <c r="F134" s="187">
        <f>SUM(F131:F133)</f>
        <v>253086.3</v>
      </c>
      <c r="G134" s="212"/>
      <c r="H134" s="187">
        <f>SUM(H131:H133)</f>
        <v>28323.399999999998</v>
      </c>
    </row>
    <row r="135" spans="1:16">
      <c r="B135" s="229"/>
      <c r="C135" s="192"/>
      <c r="D135" s="192"/>
      <c r="E135" s="192"/>
      <c r="F135" s="228"/>
      <c r="G135" s="192"/>
      <c r="H135" s="228"/>
    </row>
    <row r="136" spans="1:16">
      <c r="B136" s="229"/>
      <c r="C136" s="192"/>
      <c r="D136" s="192"/>
      <c r="E136" s="192"/>
      <c r="F136" s="228"/>
      <c r="G136" s="192"/>
      <c r="H136" s="228"/>
    </row>
    <row r="137" spans="1:16">
      <c r="B137" s="229"/>
      <c r="C137" s="192"/>
      <c r="D137" s="192"/>
      <c r="E137" s="192"/>
      <c r="F137" s="228"/>
      <c r="G137" s="192"/>
      <c r="H137" s="228"/>
    </row>
    <row r="138" spans="1:16">
      <c r="B138" s="227" t="s">
        <v>2366</v>
      </c>
      <c r="C138" s="210"/>
      <c r="D138" s="210"/>
      <c r="E138" s="299" t="s">
        <v>2173</v>
      </c>
      <c r="F138" s="299"/>
      <c r="G138" s="299" t="s">
        <v>2172</v>
      </c>
      <c r="H138" s="299"/>
      <c r="I138" s="215"/>
    </row>
    <row r="139" spans="1:16">
      <c r="A139" s="209" t="s">
        <v>2171</v>
      </c>
      <c r="B139" s="226" t="s">
        <v>2170</v>
      </c>
      <c r="C139" s="207" t="s">
        <v>2185</v>
      </c>
      <c r="D139" s="206" t="s">
        <v>2184</v>
      </c>
      <c r="E139" s="207" t="s">
        <v>2183</v>
      </c>
      <c r="F139" s="206" t="s">
        <v>2169</v>
      </c>
      <c r="G139" s="207" t="s">
        <v>2183</v>
      </c>
      <c r="H139" s="206" t="s">
        <v>2169</v>
      </c>
      <c r="I139" s="225"/>
    </row>
    <row r="140" spans="1:16" ht="16.5">
      <c r="A140" s="205">
        <f>(SUM(A134,1))</f>
        <v>111</v>
      </c>
      <c r="B140" s="224" t="s">
        <v>2365</v>
      </c>
      <c r="C140" s="219" t="s">
        <v>450</v>
      </c>
      <c r="D140" s="214">
        <v>1</v>
      </c>
      <c r="E140" s="218">
        <f>ROUND($I$246*I140,1)</f>
        <v>8943.7999999999993</v>
      </c>
      <c r="F140" s="217">
        <f>PRODUCT(D140,E140)</f>
        <v>8943.7999999999993</v>
      </c>
      <c r="G140" s="218">
        <f>ROUND($J$1*J140,1)</f>
        <v>795</v>
      </c>
      <c r="H140" s="217">
        <f>PRODUCT(D140,G140)</f>
        <v>795</v>
      </c>
      <c r="I140" s="215">
        <f>9018.3/1.21</f>
        <v>7453.1404958677685</v>
      </c>
      <c r="J140" s="215">
        <v>150</v>
      </c>
      <c r="P140" s="214">
        <v>1</v>
      </c>
    </row>
    <row r="141" spans="1:16">
      <c r="A141" s="205">
        <f>(SUM(A140,1))</f>
        <v>112</v>
      </c>
      <c r="B141" s="230" t="s">
        <v>2360</v>
      </c>
      <c r="C141" s="219" t="s">
        <v>450</v>
      </c>
      <c r="D141" s="214">
        <v>1</v>
      </c>
      <c r="E141" s="218">
        <f>ROUND($I$246*I141,1)</f>
        <v>1273.2</v>
      </c>
      <c r="F141" s="217">
        <f>PRODUCT(D141,E141)</f>
        <v>1273.2</v>
      </c>
      <c r="G141" s="218">
        <f>ROUND($J$1*J141,1)</f>
        <v>180.2</v>
      </c>
      <c r="H141" s="217">
        <f>PRODUCT(D141,G141)</f>
        <v>180.2</v>
      </c>
      <c r="I141" s="216">
        <v>1061</v>
      </c>
      <c r="J141" s="215">
        <v>34</v>
      </c>
      <c r="P141" s="214">
        <v>1</v>
      </c>
    </row>
    <row r="142" spans="1:16">
      <c r="A142" s="205">
        <f>(SUM(A141,1))</f>
        <v>113</v>
      </c>
      <c r="B142" s="224" t="s">
        <v>2343</v>
      </c>
      <c r="C142" s="219" t="s">
        <v>450</v>
      </c>
      <c r="D142" s="214">
        <v>1</v>
      </c>
      <c r="E142" s="218">
        <f>ROUND($I$246*I142,1)</f>
        <v>13116</v>
      </c>
      <c r="F142" s="217">
        <f>PRODUCT(D142,E142)</f>
        <v>13116</v>
      </c>
      <c r="G142" s="218">
        <f>ROUND($J$1*J142,1)</f>
        <v>360.4</v>
      </c>
      <c r="H142" s="217">
        <f>PRODUCT(D142,G142)</f>
        <v>360.4</v>
      </c>
      <c r="I142" s="216">
        <v>10930</v>
      </c>
      <c r="J142" s="215">
        <v>68</v>
      </c>
      <c r="P142" s="214">
        <v>1</v>
      </c>
    </row>
    <row r="143" spans="1:16">
      <c r="A143" s="205">
        <f>(SUM(A142,1))</f>
        <v>114</v>
      </c>
      <c r="B143" s="224" t="s">
        <v>2340</v>
      </c>
      <c r="C143" s="219" t="s">
        <v>450</v>
      </c>
      <c r="D143" s="214">
        <v>2</v>
      </c>
      <c r="E143" s="218">
        <f>ROUND($I$246*I143,1)</f>
        <v>868.8</v>
      </c>
      <c r="F143" s="217">
        <f>PRODUCT(D143,E143)</f>
        <v>1737.6</v>
      </c>
      <c r="G143" s="218">
        <f>ROUND($J$1*J143,1)</f>
        <v>180.2</v>
      </c>
      <c r="H143" s="217">
        <f>PRODUCT(D143,G143)</f>
        <v>360.4</v>
      </c>
      <c r="I143" s="216">
        <v>724</v>
      </c>
      <c r="J143" s="215">
        <v>34</v>
      </c>
      <c r="P143" s="214">
        <v>2</v>
      </c>
    </row>
    <row r="144" spans="1:16">
      <c r="A144" s="205">
        <f>(SUM(A143,1))</f>
        <v>115</v>
      </c>
      <c r="B144" s="224" t="s">
        <v>2351</v>
      </c>
      <c r="C144" s="219" t="s">
        <v>450</v>
      </c>
      <c r="D144" s="214">
        <v>5</v>
      </c>
      <c r="E144" s="218">
        <f>ROUND($I$246*I144,1)</f>
        <v>696</v>
      </c>
      <c r="F144" s="217">
        <f>PRODUCT(D144,E144)</f>
        <v>3480</v>
      </c>
      <c r="G144" s="218">
        <f>ROUND($J$1*J144,1)</f>
        <v>180.2</v>
      </c>
      <c r="H144" s="217">
        <f>PRODUCT(D144,G144)</f>
        <v>901</v>
      </c>
      <c r="I144" s="216">
        <v>580</v>
      </c>
      <c r="J144" s="215">
        <v>34</v>
      </c>
      <c r="P144" s="214">
        <v>5</v>
      </c>
    </row>
    <row r="145" spans="1:16">
      <c r="A145" s="205">
        <f>(SUM(A144,1))</f>
        <v>116</v>
      </c>
      <c r="B145" s="224" t="s">
        <v>2350</v>
      </c>
      <c r="C145" s="219" t="s">
        <v>450</v>
      </c>
      <c r="D145" s="214">
        <v>7</v>
      </c>
      <c r="E145" s="218">
        <f>ROUND($I$246*I145,1)</f>
        <v>187.2</v>
      </c>
      <c r="F145" s="217">
        <f>PRODUCT(D145,E145)</f>
        <v>1310.3999999999999</v>
      </c>
      <c r="G145" s="218">
        <f>ROUND($J$1*J145,1)</f>
        <v>90.1</v>
      </c>
      <c r="H145" s="217">
        <f>PRODUCT(D145,G145)</f>
        <v>630.69999999999993</v>
      </c>
      <c r="I145" s="216">
        <v>156</v>
      </c>
      <c r="J145" s="215">
        <v>17</v>
      </c>
      <c r="P145" s="214">
        <v>7</v>
      </c>
    </row>
    <row r="146" spans="1:16">
      <c r="A146" s="205">
        <f>(SUM(A145,1))</f>
        <v>117</v>
      </c>
      <c r="B146" s="224" t="s">
        <v>2339</v>
      </c>
      <c r="C146" s="219" t="s">
        <v>450</v>
      </c>
      <c r="D146" s="214">
        <v>4</v>
      </c>
      <c r="E146" s="218">
        <f>ROUND($I$246*I146,1)</f>
        <v>225.6</v>
      </c>
      <c r="F146" s="217">
        <f>PRODUCT(D146,E146)</f>
        <v>902.4</v>
      </c>
      <c r="G146" s="218">
        <f>ROUND($J$1*J146,1)</f>
        <v>90.1</v>
      </c>
      <c r="H146" s="217">
        <f>PRODUCT(D146,G146)</f>
        <v>360.4</v>
      </c>
      <c r="I146" s="216">
        <v>188</v>
      </c>
      <c r="J146" s="215">
        <v>17</v>
      </c>
      <c r="P146" s="214">
        <v>4</v>
      </c>
    </row>
    <row r="147" spans="1:16">
      <c r="A147" s="205">
        <f>(SUM(A146,1))</f>
        <v>118</v>
      </c>
      <c r="B147" s="224" t="s">
        <v>2358</v>
      </c>
      <c r="C147" s="219" t="s">
        <v>450</v>
      </c>
      <c r="D147" s="214">
        <v>2</v>
      </c>
      <c r="E147" s="218">
        <f>ROUND($I$246*I147,1)</f>
        <v>2059.1999999999998</v>
      </c>
      <c r="F147" s="217">
        <f>PRODUCT(D147,E147)</f>
        <v>4118.3999999999996</v>
      </c>
      <c r="G147" s="218">
        <f>ROUND($J$1*J147,1)</f>
        <v>180.2</v>
      </c>
      <c r="H147" s="217">
        <f>PRODUCT(D147,G147)</f>
        <v>360.4</v>
      </c>
      <c r="I147" s="216">
        <v>1716</v>
      </c>
      <c r="J147" s="215">
        <v>34</v>
      </c>
      <c r="P147" s="214">
        <v>2</v>
      </c>
    </row>
    <row r="148" spans="1:16">
      <c r="A148" s="205">
        <f>(SUM(A147,1))</f>
        <v>119</v>
      </c>
      <c r="B148" s="224" t="s">
        <v>2357</v>
      </c>
      <c r="C148" s="219" t="s">
        <v>450</v>
      </c>
      <c r="D148" s="214">
        <v>6</v>
      </c>
      <c r="E148" s="218">
        <f>ROUND($I$246*I148,1)</f>
        <v>2676</v>
      </c>
      <c r="F148" s="217">
        <f>PRODUCT(D148,E148)</f>
        <v>16056</v>
      </c>
      <c r="G148" s="218">
        <f>ROUND($J$1*J148,1)</f>
        <v>180.2</v>
      </c>
      <c r="H148" s="217">
        <f>PRODUCT(D148,G148)</f>
        <v>1081.1999999999998</v>
      </c>
      <c r="I148" s="216">
        <v>2230</v>
      </c>
      <c r="J148" s="215">
        <v>34</v>
      </c>
      <c r="P148" s="214">
        <v>6</v>
      </c>
    </row>
    <row r="149" spans="1:16">
      <c r="A149" s="205">
        <f>(SUM(A148,1))</f>
        <v>120</v>
      </c>
      <c r="B149" s="224" t="s">
        <v>2356</v>
      </c>
      <c r="C149" s="219" t="s">
        <v>450</v>
      </c>
      <c r="D149" s="214">
        <v>28</v>
      </c>
      <c r="E149" s="218">
        <f>ROUND($I$246*I149,1)</f>
        <v>2473.1999999999998</v>
      </c>
      <c r="F149" s="217">
        <f>PRODUCT(D149,E149)</f>
        <v>69249.599999999991</v>
      </c>
      <c r="G149" s="218">
        <f>ROUND($J$1*J149,1)</f>
        <v>180.2</v>
      </c>
      <c r="H149" s="217">
        <f>PRODUCT(D149,G149)</f>
        <v>5045.5999999999995</v>
      </c>
      <c r="I149" s="216">
        <v>2061</v>
      </c>
      <c r="J149" s="215">
        <v>34</v>
      </c>
      <c r="P149" s="214">
        <v>28</v>
      </c>
    </row>
    <row r="150" spans="1:16">
      <c r="A150" s="205">
        <f>(SUM(A149,1))</f>
        <v>121</v>
      </c>
      <c r="B150" s="224" t="s">
        <v>2364</v>
      </c>
      <c r="C150" s="219" t="s">
        <v>450</v>
      </c>
      <c r="D150" s="214">
        <v>1</v>
      </c>
      <c r="E150" s="218">
        <f>ROUND($I$246*I150,1)</f>
        <v>798</v>
      </c>
      <c r="F150" s="217">
        <f>PRODUCT(D150,E150)</f>
        <v>798</v>
      </c>
      <c r="G150" s="218">
        <f>ROUND($J$1*J150,1)</f>
        <v>180.2</v>
      </c>
      <c r="H150" s="217">
        <f>PRODUCT(D150,G150)</f>
        <v>180.2</v>
      </c>
      <c r="I150" s="216">
        <v>665</v>
      </c>
      <c r="J150" s="215">
        <v>34</v>
      </c>
      <c r="P150" s="214">
        <v>1</v>
      </c>
    </row>
    <row r="151" spans="1:16">
      <c r="A151" s="205">
        <f>(SUM(A150,1))</f>
        <v>122</v>
      </c>
      <c r="B151" s="224" t="s">
        <v>2355</v>
      </c>
      <c r="C151" s="219" t="s">
        <v>450</v>
      </c>
      <c r="D151" s="214">
        <v>1</v>
      </c>
      <c r="E151" s="218">
        <f>ROUND($I$246*I151,1)</f>
        <v>46800</v>
      </c>
      <c r="F151" s="217">
        <f>PRODUCT(D151,E151)</f>
        <v>46800</v>
      </c>
      <c r="G151" s="218">
        <f>ROUND($J$1*J151,1)</f>
        <v>530</v>
      </c>
      <c r="H151" s="217">
        <f>PRODUCT(D151,G151)</f>
        <v>530</v>
      </c>
      <c r="I151" s="216">
        <v>39000</v>
      </c>
      <c r="J151" s="215">
        <v>100</v>
      </c>
      <c r="P151" s="214">
        <v>1</v>
      </c>
    </row>
    <row r="152" spans="1:16">
      <c r="A152" s="205">
        <f>(SUM(A151,1))</f>
        <v>123</v>
      </c>
      <c r="B152" s="224" t="s">
        <v>2336</v>
      </c>
      <c r="C152" s="219" t="s">
        <v>450</v>
      </c>
      <c r="D152" s="214">
        <v>41</v>
      </c>
      <c r="E152" s="218">
        <f>ROUND($I$246*I152,1)</f>
        <v>0</v>
      </c>
      <c r="F152" s="217">
        <f>PRODUCT(D152,E152)</f>
        <v>0</v>
      </c>
      <c r="G152" s="218">
        <f>ROUND($J$1*J152,1)</f>
        <v>92.2</v>
      </c>
      <c r="H152" s="217">
        <f>PRODUCT(D152,G152)</f>
        <v>3780.2000000000003</v>
      </c>
      <c r="I152" s="216">
        <v>0</v>
      </c>
      <c r="J152" s="215">
        <v>17.399999999999999</v>
      </c>
      <c r="P152" s="214">
        <v>41</v>
      </c>
    </row>
    <row r="153" spans="1:16">
      <c r="A153" s="205">
        <f>(SUM(A152,1))</f>
        <v>124</v>
      </c>
      <c r="B153" s="224" t="s">
        <v>2335</v>
      </c>
      <c r="C153" s="219" t="s">
        <v>2177</v>
      </c>
      <c r="D153" s="214">
        <v>1</v>
      </c>
      <c r="E153" s="218">
        <f>ROUND($I$246*I153,1)</f>
        <v>6000</v>
      </c>
      <c r="F153" s="217">
        <f>PRODUCT(D153,E153)</f>
        <v>6000</v>
      </c>
      <c r="G153" s="218">
        <f>ROUND($J$1*J153,1)</f>
        <v>2650</v>
      </c>
      <c r="H153" s="217">
        <f>PRODUCT(D153,G153)</f>
        <v>2650</v>
      </c>
      <c r="I153" s="216">
        <v>5000</v>
      </c>
      <c r="J153" s="215">
        <v>500</v>
      </c>
      <c r="P153" s="214">
        <v>1</v>
      </c>
    </row>
    <row r="154" spans="1:16">
      <c r="A154" s="201">
        <f>(SUM(A153,1))</f>
        <v>125</v>
      </c>
      <c r="B154" s="198"/>
      <c r="C154" s="200"/>
      <c r="D154" s="200"/>
      <c r="E154" s="200"/>
      <c r="F154" s="199">
        <f>SUM(F140:F153)</f>
        <v>173785.4</v>
      </c>
      <c r="G154" s="198"/>
      <c r="H154" s="199">
        <f>SUM(H140:H153)</f>
        <v>17215.7</v>
      </c>
    </row>
    <row r="155" spans="1:16">
      <c r="A155" s="196">
        <f>(SUM(A154,1))</f>
        <v>126</v>
      </c>
      <c r="B155" s="195" t="s">
        <v>2176</v>
      </c>
      <c r="C155" s="192"/>
      <c r="D155" s="194">
        <v>3</v>
      </c>
      <c r="E155" s="192" t="s">
        <v>565</v>
      </c>
      <c r="F155" s="213">
        <f>ROUND(F154*D155*0.01,1)</f>
        <v>5213.6000000000004</v>
      </c>
      <c r="G155" s="192"/>
      <c r="H155" s="191"/>
    </row>
    <row r="156" spans="1:16">
      <c r="A156" s="196">
        <f>(SUM(A155,1))</f>
        <v>127</v>
      </c>
      <c r="B156" s="195" t="s">
        <v>2175</v>
      </c>
      <c r="C156" s="192"/>
      <c r="D156" s="194">
        <v>0</v>
      </c>
      <c r="E156" s="192" t="s">
        <v>565</v>
      </c>
      <c r="F156" s="193"/>
      <c r="G156" s="192"/>
      <c r="H156" s="213">
        <f>ROUND(H154*D156*0.01,1)</f>
        <v>0</v>
      </c>
    </row>
    <row r="157" spans="1:16">
      <c r="A157" s="190">
        <f>(SUM(A156,1))</f>
        <v>128</v>
      </c>
      <c r="B157" s="189" t="s">
        <v>2168</v>
      </c>
      <c r="C157" s="188"/>
      <c r="D157" s="188"/>
      <c r="E157" s="188"/>
      <c r="F157" s="187">
        <f>SUM(F154:F156)</f>
        <v>178999</v>
      </c>
      <c r="G157" s="212"/>
      <c r="H157" s="187">
        <f>SUM(H154:H156)</f>
        <v>17215.7</v>
      </c>
    </row>
    <row r="158" spans="1:16">
      <c r="B158" s="229"/>
      <c r="C158" s="192"/>
      <c r="D158" s="192"/>
      <c r="E158" s="192"/>
      <c r="F158" s="228"/>
      <c r="G158" s="192"/>
      <c r="H158" s="228"/>
    </row>
    <row r="159" spans="1:16">
      <c r="B159" s="229"/>
      <c r="C159" s="192"/>
      <c r="D159" s="192"/>
      <c r="E159" s="192"/>
      <c r="F159" s="228"/>
      <c r="G159" s="192"/>
      <c r="H159" s="228"/>
    </row>
    <row r="160" spans="1:16">
      <c r="B160" s="229"/>
      <c r="C160" s="192"/>
      <c r="D160" s="192"/>
      <c r="E160" s="192"/>
      <c r="F160" s="228"/>
      <c r="G160" s="192"/>
      <c r="H160" s="228"/>
    </row>
    <row r="161" spans="1:16">
      <c r="B161" s="227" t="s">
        <v>2363</v>
      </c>
      <c r="C161" s="210"/>
      <c r="D161" s="210"/>
      <c r="E161" s="299" t="s">
        <v>2173</v>
      </c>
      <c r="F161" s="299"/>
      <c r="G161" s="299" t="s">
        <v>2172</v>
      </c>
      <c r="H161" s="299"/>
      <c r="I161" s="215"/>
    </row>
    <row r="162" spans="1:16">
      <c r="A162" s="209" t="s">
        <v>2171</v>
      </c>
      <c r="B162" s="226" t="s">
        <v>2170</v>
      </c>
      <c r="C162" s="207" t="s">
        <v>2185</v>
      </c>
      <c r="D162" s="206" t="s">
        <v>2184</v>
      </c>
      <c r="E162" s="207" t="s">
        <v>2183</v>
      </c>
      <c r="F162" s="206" t="s">
        <v>2169</v>
      </c>
      <c r="G162" s="207" t="s">
        <v>2183</v>
      </c>
      <c r="H162" s="206" t="s">
        <v>2169</v>
      </c>
      <c r="I162" s="225"/>
    </row>
    <row r="163" spans="1:16" ht="16.5">
      <c r="A163" s="205">
        <f>(SUM(A157,1))</f>
        <v>129</v>
      </c>
      <c r="B163" s="224" t="s">
        <v>2361</v>
      </c>
      <c r="C163" s="219" t="s">
        <v>450</v>
      </c>
      <c r="D163" s="214">
        <v>1</v>
      </c>
      <c r="E163" s="218">
        <f>ROUND($I$246*I163,1)</f>
        <v>7856.6</v>
      </c>
      <c r="F163" s="217">
        <f>PRODUCT(D163,E163)</f>
        <v>7856.6</v>
      </c>
      <c r="G163" s="218">
        <f>ROUND($J$1*J163,1)</f>
        <v>795</v>
      </c>
      <c r="H163" s="217">
        <f>PRODUCT(D163,G163)</f>
        <v>795</v>
      </c>
      <c r="I163" s="215">
        <f>7922.04/1.21</f>
        <v>6547.1404958677685</v>
      </c>
      <c r="J163" s="215">
        <v>150</v>
      </c>
      <c r="P163" s="214">
        <v>1</v>
      </c>
    </row>
    <row r="164" spans="1:16">
      <c r="A164" s="205">
        <f>(SUM(A163,1))</f>
        <v>130</v>
      </c>
      <c r="B164" s="230" t="s">
        <v>2360</v>
      </c>
      <c r="C164" s="219" t="s">
        <v>450</v>
      </c>
      <c r="D164" s="214">
        <v>1</v>
      </c>
      <c r="E164" s="218">
        <f>ROUND($I$246*I164,1)</f>
        <v>1273.2</v>
      </c>
      <c r="F164" s="217">
        <f>PRODUCT(D164,E164)</f>
        <v>1273.2</v>
      </c>
      <c r="G164" s="218">
        <f>ROUND($J$1*J164,1)</f>
        <v>180.2</v>
      </c>
      <c r="H164" s="217">
        <f>PRODUCT(D164,G164)</f>
        <v>180.2</v>
      </c>
      <c r="I164" s="216">
        <v>1061</v>
      </c>
      <c r="J164" s="215">
        <v>34</v>
      </c>
      <c r="P164" s="214">
        <v>1</v>
      </c>
    </row>
    <row r="165" spans="1:16">
      <c r="A165" s="205">
        <f>(SUM(A164,1))</f>
        <v>131</v>
      </c>
      <c r="B165" s="224" t="s">
        <v>2343</v>
      </c>
      <c r="C165" s="219" t="s">
        <v>450</v>
      </c>
      <c r="D165" s="214">
        <v>1</v>
      </c>
      <c r="E165" s="218">
        <f>ROUND($I$246*I165,1)</f>
        <v>13116</v>
      </c>
      <c r="F165" s="217">
        <f>PRODUCT(D165,E165)</f>
        <v>13116</v>
      </c>
      <c r="G165" s="218">
        <f>ROUND($J$1*J165,1)</f>
        <v>360.4</v>
      </c>
      <c r="H165" s="217">
        <f>PRODUCT(D165,G165)</f>
        <v>360.4</v>
      </c>
      <c r="I165" s="216">
        <v>10930</v>
      </c>
      <c r="J165" s="215">
        <v>68</v>
      </c>
      <c r="P165" s="214">
        <v>1</v>
      </c>
    </row>
    <row r="166" spans="1:16">
      <c r="A166" s="205">
        <f>(SUM(A165,1))</f>
        <v>132</v>
      </c>
      <c r="B166" s="224" t="s">
        <v>2351</v>
      </c>
      <c r="C166" s="219" t="s">
        <v>450</v>
      </c>
      <c r="D166" s="214">
        <v>3</v>
      </c>
      <c r="E166" s="218">
        <f>ROUND($I$246*I166,1)</f>
        <v>696</v>
      </c>
      <c r="F166" s="217">
        <f>PRODUCT(D166,E166)</f>
        <v>2088</v>
      </c>
      <c r="G166" s="218">
        <f>ROUND($J$1*J166,1)</f>
        <v>180.2</v>
      </c>
      <c r="H166" s="217">
        <f>PRODUCT(D166,G166)</f>
        <v>540.59999999999991</v>
      </c>
      <c r="I166" s="216">
        <v>580</v>
      </c>
      <c r="J166" s="215">
        <v>34</v>
      </c>
      <c r="P166" s="214">
        <v>3</v>
      </c>
    </row>
    <row r="167" spans="1:16">
      <c r="A167" s="205">
        <f>(SUM(A166,1))</f>
        <v>133</v>
      </c>
      <c r="B167" s="224" t="s">
        <v>2350</v>
      </c>
      <c r="C167" s="219" t="s">
        <v>450</v>
      </c>
      <c r="D167" s="214">
        <v>7</v>
      </c>
      <c r="E167" s="218">
        <f>ROUND($I$246*I167,1)</f>
        <v>187.2</v>
      </c>
      <c r="F167" s="217">
        <f>PRODUCT(D167,E167)</f>
        <v>1310.3999999999999</v>
      </c>
      <c r="G167" s="218">
        <f>ROUND($J$1*J167,1)</f>
        <v>90.1</v>
      </c>
      <c r="H167" s="217">
        <f>PRODUCT(D167,G167)</f>
        <v>630.69999999999993</v>
      </c>
      <c r="I167" s="216">
        <v>156</v>
      </c>
      <c r="J167" s="215">
        <v>17</v>
      </c>
      <c r="P167" s="214">
        <v>7</v>
      </c>
    </row>
    <row r="168" spans="1:16">
      <c r="A168" s="205">
        <f>(SUM(A167,1))</f>
        <v>134</v>
      </c>
      <c r="B168" s="224" t="s">
        <v>2339</v>
      </c>
      <c r="C168" s="219" t="s">
        <v>450</v>
      </c>
      <c r="D168" s="214">
        <v>3</v>
      </c>
      <c r="E168" s="218">
        <f>ROUND($I$246*I168,1)</f>
        <v>225.6</v>
      </c>
      <c r="F168" s="217">
        <f>PRODUCT(D168,E168)</f>
        <v>676.8</v>
      </c>
      <c r="G168" s="218">
        <f>ROUND($J$1*J168,1)</f>
        <v>90.1</v>
      </c>
      <c r="H168" s="217">
        <f>PRODUCT(D168,G168)</f>
        <v>270.29999999999995</v>
      </c>
      <c r="I168" s="216">
        <v>188</v>
      </c>
      <c r="J168" s="215">
        <v>17</v>
      </c>
      <c r="P168" s="214">
        <v>3</v>
      </c>
    </row>
    <row r="169" spans="1:16">
      <c r="A169" s="205">
        <f>(SUM(A168,1))</f>
        <v>135</v>
      </c>
      <c r="B169" s="224" t="s">
        <v>2358</v>
      </c>
      <c r="C169" s="219" t="s">
        <v>450</v>
      </c>
      <c r="D169" s="214">
        <v>1</v>
      </c>
      <c r="E169" s="218">
        <f>ROUND($I$246*I169,1)</f>
        <v>2059.1999999999998</v>
      </c>
      <c r="F169" s="217">
        <f>PRODUCT(D169,E169)</f>
        <v>2059.1999999999998</v>
      </c>
      <c r="G169" s="218">
        <f>ROUND($J$1*J169,1)</f>
        <v>180.2</v>
      </c>
      <c r="H169" s="217">
        <f>PRODUCT(D169,G169)</f>
        <v>180.2</v>
      </c>
      <c r="I169" s="216">
        <v>1716</v>
      </c>
      <c r="J169" s="215">
        <v>34</v>
      </c>
      <c r="P169" s="214">
        <v>1</v>
      </c>
    </row>
    <row r="170" spans="1:16">
      <c r="A170" s="205">
        <f>(SUM(A169,1))</f>
        <v>136</v>
      </c>
      <c r="B170" s="224" t="s">
        <v>2357</v>
      </c>
      <c r="C170" s="219" t="s">
        <v>450</v>
      </c>
      <c r="D170" s="214">
        <v>7</v>
      </c>
      <c r="E170" s="218">
        <f>ROUND($I$246*I170,1)</f>
        <v>2676</v>
      </c>
      <c r="F170" s="217">
        <f>PRODUCT(D170,E170)</f>
        <v>18732</v>
      </c>
      <c r="G170" s="218">
        <f>ROUND($J$1*J170,1)</f>
        <v>180.2</v>
      </c>
      <c r="H170" s="217">
        <f>PRODUCT(D170,G170)</f>
        <v>1261.3999999999999</v>
      </c>
      <c r="I170" s="216">
        <v>2230</v>
      </c>
      <c r="J170" s="215">
        <v>34</v>
      </c>
      <c r="P170" s="214">
        <v>7</v>
      </c>
    </row>
    <row r="171" spans="1:16">
      <c r="A171" s="205">
        <f>(SUM(A170,1))</f>
        <v>137</v>
      </c>
      <c r="B171" s="224" t="s">
        <v>2356</v>
      </c>
      <c r="C171" s="219" t="s">
        <v>450</v>
      </c>
      <c r="D171" s="214">
        <v>14</v>
      </c>
      <c r="E171" s="218">
        <f>ROUND($I$246*I171,1)</f>
        <v>2473.1999999999998</v>
      </c>
      <c r="F171" s="217">
        <f>PRODUCT(D171,E171)</f>
        <v>34624.799999999996</v>
      </c>
      <c r="G171" s="218">
        <f>ROUND($J$1*J171,1)</f>
        <v>180.2</v>
      </c>
      <c r="H171" s="217">
        <f>PRODUCT(D171,G171)</f>
        <v>2522.7999999999997</v>
      </c>
      <c r="I171" s="216">
        <v>2061</v>
      </c>
      <c r="J171" s="215">
        <v>34</v>
      </c>
      <c r="P171" s="214">
        <v>14</v>
      </c>
    </row>
    <row r="172" spans="1:16">
      <c r="A172" s="205">
        <f>(SUM(A171,1))</f>
        <v>138</v>
      </c>
      <c r="B172" s="224" t="s">
        <v>2355</v>
      </c>
      <c r="C172" s="219" t="s">
        <v>450</v>
      </c>
      <c r="D172" s="214">
        <v>1</v>
      </c>
      <c r="E172" s="218">
        <f>ROUND($I$246*I172,1)</f>
        <v>46800</v>
      </c>
      <c r="F172" s="217">
        <f>PRODUCT(D172,E172)</f>
        <v>46800</v>
      </c>
      <c r="G172" s="218">
        <f>ROUND($J$1*J172,1)</f>
        <v>530</v>
      </c>
      <c r="H172" s="217">
        <f>PRODUCT(D172,G172)</f>
        <v>530</v>
      </c>
      <c r="I172" s="216">
        <v>39000</v>
      </c>
      <c r="J172" s="215">
        <v>100</v>
      </c>
      <c r="P172" s="214">
        <v>1</v>
      </c>
    </row>
    <row r="173" spans="1:16">
      <c r="A173" s="205">
        <f>(SUM(A172,1))</f>
        <v>139</v>
      </c>
      <c r="B173" s="224" t="s">
        <v>2336</v>
      </c>
      <c r="C173" s="219" t="s">
        <v>450</v>
      </c>
      <c r="D173" s="214">
        <v>23</v>
      </c>
      <c r="E173" s="218">
        <f>ROUND($I$246*I173,1)</f>
        <v>0</v>
      </c>
      <c r="F173" s="217">
        <f>PRODUCT(D173,E173)</f>
        <v>0</v>
      </c>
      <c r="G173" s="218">
        <f>ROUND($J$1*J173,1)</f>
        <v>92.2</v>
      </c>
      <c r="H173" s="217">
        <f>PRODUCT(D173,G173)</f>
        <v>2120.6</v>
      </c>
      <c r="I173" s="216">
        <v>0</v>
      </c>
      <c r="J173" s="215">
        <v>17.399999999999999</v>
      </c>
      <c r="P173" s="214">
        <v>23</v>
      </c>
    </row>
    <row r="174" spans="1:16">
      <c r="A174" s="205">
        <f>(SUM(A173,1))</f>
        <v>140</v>
      </c>
      <c r="B174" s="224" t="s">
        <v>2335</v>
      </c>
      <c r="C174" s="219" t="s">
        <v>2177</v>
      </c>
      <c r="D174" s="214">
        <v>1</v>
      </c>
      <c r="E174" s="218">
        <f>ROUND($I$246*I174,1)</f>
        <v>4800</v>
      </c>
      <c r="F174" s="217">
        <f>PRODUCT(D174,E174)</f>
        <v>4800</v>
      </c>
      <c r="G174" s="218">
        <f>ROUND($J$1*J174,1)</f>
        <v>2120</v>
      </c>
      <c r="H174" s="217">
        <f>PRODUCT(D174,G174)</f>
        <v>2120</v>
      </c>
      <c r="I174" s="216">
        <v>4000</v>
      </c>
      <c r="J174" s="215">
        <v>400</v>
      </c>
      <c r="P174" s="214">
        <v>1</v>
      </c>
    </row>
    <row r="175" spans="1:16">
      <c r="A175" s="201">
        <f>(SUM(A174,1))</f>
        <v>141</v>
      </c>
      <c r="B175" s="198"/>
      <c r="C175" s="200"/>
      <c r="D175" s="200"/>
      <c r="E175" s="200"/>
      <c r="F175" s="199">
        <f>SUM(F163:F174)</f>
        <v>133337</v>
      </c>
      <c r="G175" s="198"/>
      <c r="H175" s="199">
        <f>SUM(H163:H174)</f>
        <v>11512.199999999999</v>
      </c>
    </row>
    <row r="176" spans="1:16">
      <c r="A176" s="196">
        <f>(SUM(A175,1))</f>
        <v>142</v>
      </c>
      <c r="B176" s="195" t="s">
        <v>2176</v>
      </c>
      <c r="C176" s="192"/>
      <c r="D176" s="194">
        <v>3</v>
      </c>
      <c r="E176" s="192" t="s">
        <v>565</v>
      </c>
      <c r="F176" s="213">
        <f>ROUND(F175*D176*0.01,1)</f>
        <v>4000.1</v>
      </c>
      <c r="G176" s="192"/>
      <c r="H176" s="191"/>
    </row>
    <row r="177" spans="1:16">
      <c r="A177" s="196">
        <f>(SUM(A176,1))</f>
        <v>143</v>
      </c>
      <c r="B177" s="195" t="s">
        <v>2175</v>
      </c>
      <c r="C177" s="192"/>
      <c r="D177" s="194">
        <v>0</v>
      </c>
      <c r="E177" s="192" t="s">
        <v>565</v>
      </c>
      <c r="F177" s="193"/>
      <c r="G177" s="192"/>
      <c r="H177" s="213">
        <f>ROUND(H175*D177*0.01,1)</f>
        <v>0</v>
      </c>
    </row>
    <row r="178" spans="1:16">
      <c r="A178" s="190">
        <f>(SUM(A177,1))</f>
        <v>144</v>
      </c>
      <c r="B178" s="189" t="s">
        <v>2168</v>
      </c>
      <c r="C178" s="188"/>
      <c r="D178" s="188"/>
      <c r="E178" s="188"/>
      <c r="F178" s="187">
        <f>SUM(F175:F177)</f>
        <v>137337.1</v>
      </c>
      <c r="G178" s="212"/>
      <c r="H178" s="187">
        <f>SUM(H175:H177)</f>
        <v>11512.199999999999</v>
      </c>
    </row>
    <row r="179" spans="1:16">
      <c r="B179" s="229"/>
      <c r="C179" s="192"/>
      <c r="D179" s="192"/>
      <c r="E179" s="192"/>
      <c r="F179" s="228"/>
      <c r="G179" s="192"/>
      <c r="H179" s="228"/>
    </row>
    <row r="180" spans="1:16">
      <c r="B180" s="229"/>
      <c r="C180" s="192"/>
      <c r="D180" s="192"/>
      <c r="E180" s="192"/>
      <c r="F180" s="228"/>
      <c r="G180" s="192"/>
      <c r="H180" s="228"/>
    </row>
    <row r="181" spans="1:16">
      <c r="B181" s="229"/>
      <c r="C181" s="192"/>
      <c r="D181" s="192"/>
      <c r="E181" s="192"/>
      <c r="F181" s="228"/>
      <c r="G181" s="192"/>
      <c r="H181" s="228"/>
    </row>
    <row r="182" spans="1:16">
      <c r="B182" s="227" t="s">
        <v>2362</v>
      </c>
      <c r="C182" s="210"/>
      <c r="D182" s="210"/>
      <c r="E182" s="299" t="s">
        <v>2173</v>
      </c>
      <c r="F182" s="299"/>
      <c r="G182" s="299" t="s">
        <v>2172</v>
      </c>
      <c r="H182" s="299"/>
      <c r="I182" s="215"/>
    </row>
    <row r="183" spans="1:16">
      <c r="A183" s="209" t="s">
        <v>2171</v>
      </c>
      <c r="B183" s="226" t="s">
        <v>2170</v>
      </c>
      <c r="C183" s="207" t="s">
        <v>2185</v>
      </c>
      <c r="D183" s="206" t="s">
        <v>2184</v>
      </c>
      <c r="E183" s="207" t="s">
        <v>2183</v>
      </c>
      <c r="F183" s="206" t="s">
        <v>2169</v>
      </c>
      <c r="G183" s="207" t="s">
        <v>2183</v>
      </c>
      <c r="H183" s="206" t="s">
        <v>2169</v>
      </c>
      <c r="I183" s="225"/>
    </row>
    <row r="184" spans="1:16" ht="16.5">
      <c r="A184" s="205">
        <f>(SUM(A178,1))</f>
        <v>145</v>
      </c>
      <c r="B184" s="224" t="s">
        <v>2361</v>
      </c>
      <c r="C184" s="219" t="s">
        <v>450</v>
      </c>
      <c r="D184" s="214">
        <v>1</v>
      </c>
      <c r="E184" s="218">
        <f>ROUND($I$246*I184,1)</f>
        <v>7856.6</v>
      </c>
      <c r="F184" s="217">
        <f>PRODUCT(D184,E184)</f>
        <v>7856.6</v>
      </c>
      <c r="G184" s="218">
        <f>ROUND($J$1*J184,1)</f>
        <v>795</v>
      </c>
      <c r="H184" s="217">
        <f>PRODUCT(D184,G184)</f>
        <v>795</v>
      </c>
      <c r="I184" s="215">
        <f>7922.04/1.21</f>
        <v>6547.1404958677685</v>
      </c>
      <c r="J184" s="215">
        <v>150</v>
      </c>
      <c r="P184" s="214">
        <v>1</v>
      </c>
    </row>
    <row r="185" spans="1:16">
      <c r="A185" s="205">
        <f>(SUM(A184,1))</f>
        <v>146</v>
      </c>
      <c r="B185" s="230" t="s">
        <v>2360</v>
      </c>
      <c r="C185" s="219" t="s">
        <v>450</v>
      </c>
      <c r="D185" s="214">
        <v>1</v>
      </c>
      <c r="E185" s="218">
        <f>ROUND($I$246*I185,1)</f>
        <v>1273.2</v>
      </c>
      <c r="F185" s="217">
        <f>PRODUCT(D185,E185)</f>
        <v>1273.2</v>
      </c>
      <c r="G185" s="218">
        <f>ROUND($J$1*J185,1)</f>
        <v>180.2</v>
      </c>
      <c r="H185" s="217">
        <f>PRODUCT(D185,G185)</f>
        <v>180.2</v>
      </c>
      <c r="I185" s="216">
        <v>1061</v>
      </c>
      <c r="J185" s="215">
        <v>34</v>
      </c>
      <c r="P185" s="214">
        <v>1</v>
      </c>
    </row>
    <row r="186" spans="1:16">
      <c r="A186" s="205">
        <f>(SUM(A185,1))</f>
        <v>147</v>
      </c>
      <c r="B186" s="224" t="s">
        <v>2343</v>
      </c>
      <c r="C186" s="219" t="s">
        <v>450</v>
      </c>
      <c r="D186" s="214">
        <v>1</v>
      </c>
      <c r="E186" s="218">
        <f>ROUND($I$246*I186,1)</f>
        <v>13116</v>
      </c>
      <c r="F186" s="217">
        <f>PRODUCT(D186,E186)</f>
        <v>13116</v>
      </c>
      <c r="G186" s="218">
        <f>ROUND($J$1*J186,1)</f>
        <v>360.4</v>
      </c>
      <c r="H186" s="217">
        <f>PRODUCT(D186,G186)</f>
        <v>360.4</v>
      </c>
      <c r="I186" s="216">
        <v>10930</v>
      </c>
      <c r="J186" s="215">
        <v>68</v>
      </c>
      <c r="P186" s="214">
        <v>1</v>
      </c>
    </row>
    <row r="187" spans="1:16">
      <c r="A187" s="205">
        <f>(SUM(A186,1))</f>
        <v>148</v>
      </c>
      <c r="B187" s="224" t="s">
        <v>2351</v>
      </c>
      <c r="C187" s="219" t="s">
        <v>450</v>
      </c>
      <c r="D187" s="214">
        <v>3</v>
      </c>
      <c r="E187" s="218">
        <f>ROUND($I$246*I187,1)</f>
        <v>696</v>
      </c>
      <c r="F187" s="217">
        <f>PRODUCT(D187,E187)</f>
        <v>2088</v>
      </c>
      <c r="G187" s="218">
        <f>ROUND($J$1*J187,1)</f>
        <v>180.2</v>
      </c>
      <c r="H187" s="217">
        <f>PRODUCT(D187,G187)</f>
        <v>540.59999999999991</v>
      </c>
      <c r="I187" s="216">
        <v>580</v>
      </c>
      <c r="J187" s="215">
        <v>34</v>
      </c>
      <c r="P187" s="214">
        <v>3</v>
      </c>
    </row>
    <row r="188" spans="1:16">
      <c r="A188" s="205">
        <f>(SUM(A187,1))</f>
        <v>149</v>
      </c>
      <c r="B188" s="224" t="s">
        <v>2359</v>
      </c>
      <c r="C188" s="219" t="s">
        <v>450</v>
      </c>
      <c r="D188" s="214">
        <v>2</v>
      </c>
      <c r="E188" s="218">
        <f>ROUND($I$246*I188,1)</f>
        <v>240</v>
      </c>
      <c r="F188" s="217">
        <f>PRODUCT(D188,E188)</f>
        <v>480</v>
      </c>
      <c r="G188" s="218">
        <f>ROUND($J$1*J188,1)</f>
        <v>90.1</v>
      </c>
      <c r="H188" s="217">
        <f>PRODUCT(D188,G188)</f>
        <v>180.2</v>
      </c>
      <c r="I188" s="216">
        <v>200</v>
      </c>
      <c r="J188" s="215">
        <v>17</v>
      </c>
      <c r="P188" s="214">
        <v>2</v>
      </c>
    </row>
    <row r="189" spans="1:16">
      <c r="A189" s="205">
        <f>(SUM(A188,1))</f>
        <v>150</v>
      </c>
      <c r="B189" s="224" t="s">
        <v>2350</v>
      </c>
      <c r="C189" s="219" t="s">
        <v>450</v>
      </c>
      <c r="D189" s="214">
        <v>8</v>
      </c>
      <c r="E189" s="218">
        <f>ROUND($I$246*I189,1)</f>
        <v>187.2</v>
      </c>
      <c r="F189" s="217">
        <f>PRODUCT(D189,E189)</f>
        <v>1497.6</v>
      </c>
      <c r="G189" s="218">
        <f>ROUND($J$1*J189,1)</f>
        <v>90.1</v>
      </c>
      <c r="H189" s="217">
        <f>PRODUCT(D189,G189)</f>
        <v>720.8</v>
      </c>
      <c r="I189" s="216">
        <v>156</v>
      </c>
      <c r="J189" s="215">
        <v>17</v>
      </c>
      <c r="P189" s="214">
        <v>8</v>
      </c>
    </row>
    <row r="190" spans="1:16">
      <c r="A190" s="205">
        <f>(SUM(A189,1))</f>
        <v>151</v>
      </c>
      <c r="B190" s="224" t="s">
        <v>2339</v>
      </c>
      <c r="C190" s="219" t="s">
        <v>450</v>
      </c>
      <c r="D190" s="214">
        <v>5</v>
      </c>
      <c r="E190" s="218">
        <f>ROUND($I$246*I190,1)</f>
        <v>225.6</v>
      </c>
      <c r="F190" s="217">
        <f>PRODUCT(D190,E190)</f>
        <v>1128</v>
      </c>
      <c r="G190" s="218">
        <f>ROUND($J$1*J190,1)</f>
        <v>90.1</v>
      </c>
      <c r="H190" s="217">
        <f>PRODUCT(D190,G190)</f>
        <v>450.5</v>
      </c>
      <c r="I190" s="216">
        <v>188</v>
      </c>
      <c r="J190" s="215">
        <v>17</v>
      </c>
      <c r="P190" s="214">
        <v>5</v>
      </c>
    </row>
    <row r="191" spans="1:16">
      <c r="A191" s="205">
        <f>(SUM(A190,1))</f>
        <v>152</v>
      </c>
      <c r="B191" s="224" t="s">
        <v>2358</v>
      </c>
      <c r="C191" s="219" t="s">
        <v>450</v>
      </c>
      <c r="D191" s="214">
        <v>1</v>
      </c>
      <c r="E191" s="218">
        <f>ROUND($I$246*I191,1)</f>
        <v>2059.1999999999998</v>
      </c>
      <c r="F191" s="217">
        <f>PRODUCT(D191,E191)</f>
        <v>2059.1999999999998</v>
      </c>
      <c r="G191" s="218">
        <f>ROUND($J$1*J191,1)</f>
        <v>180.2</v>
      </c>
      <c r="H191" s="217">
        <f>PRODUCT(D191,G191)</f>
        <v>180.2</v>
      </c>
      <c r="I191" s="216">
        <v>1716</v>
      </c>
      <c r="J191" s="215">
        <v>34</v>
      </c>
      <c r="P191" s="214">
        <v>1</v>
      </c>
    </row>
    <row r="192" spans="1:16">
      <c r="A192" s="205">
        <f>(SUM(A191,1))</f>
        <v>153</v>
      </c>
      <c r="B192" s="224" t="s">
        <v>2357</v>
      </c>
      <c r="C192" s="219" t="s">
        <v>450</v>
      </c>
      <c r="D192" s="214">
        <v>7</v>
      </c>
      <c r="E192" s="218">
        <f>ROUND($I$246*I192,1)</f>
        <v>2676</v>
      </c>
      <c r="F192" s="217">
        <f>PRODUCT(D192,E192)</f>
        <v>18732</v>
      </c>
      <c r="G192" s="218">
        <f>ROUND($J$1*J192,1)</f>
        <v>180.2</v>
      </c>
      <c r="H192" s="217">
        <f>PRODUCT(D192,G192)</f>
        <v>1261.3999999999999</v>
      </c>
      <c r="I192" s="216">
        <v>2230</v>
      </c>
      <c r="J192" s="215">
        <v>34</v>
      </c>
      <c r="P192" s="214">
        <v>7</v>
      </c>
    </row>
    <row r="193" spans="1:16">
      <c r="A193" s="205">
        <f>(SUM(A192,1))</f>
        <v>154</v>
      </c>
      <c r="B193" s="224" t="s">
        <v>2356</v>
      </c>
      <c r="C193" s="219" t="s">
        <v>450</v>
      </c>
      <c r="D193" s="214">
        <v>18</v>
      </c>
      <c r="E193" s="218">
        <f>ROUND($I$246*I193,1)</f>
        <v>2473.1999999999998</v>
      </c>
      <c r="F193" s="217">
        <f>PRODUCT(D193,E193)</f>
        <v>44517.599999999999</v>
      </c>
      <c r="G193" s="218">
        <f>ROUND($J$1*J193,1)</f>
        <v>180.2</v>
      </c>
      <c r="H193" s="217">
        <f>PRODUCT(D193,G193)</f>
        <v>3243.6</v>
      </c>
      <c r="I193" s="216">
        <v>2061</v>
      </c>
      <c r="J193" s="215">
        <v>34</v>
      </c>
      <c r="P193" s="214">
        <v>18</v>
      </c>
    </row>
    <row r="194" spans="1:16">
      <c r="A194" s="205">
        <f>(SUM(A193,1))</f>
        <v>155</v>
      </c>
      <c r="B194" s="224" t="s">
        <v>2355</v>
      </c>
      <c r="C194" s="219" t="s">
        <v>450</v>
      </c>
      <c r="D194" s="214">
        <v>1</v>
      </c>
      <c r="E194" s="218">
        <f>ROUND($I$246*I194,1)</f>
        <v>46800</v>
      </c>
      <c r="F194" s="217">
        <f>PRODUCT(D194,E194)</f>
        <v>46800</v>
      </c>
      <c r="G194" s="218">
        <f>ROUND($J$1*J194,1)</f>
        <v>530</v>
      </c>
      <c r="H194" s="217">
        <f>PRODUCT(D194,G194)</f>
        <v>530</v>
      </c>
      <c r="I194" s="216">
        <v>39000</v>
      </c>
      <c r="J194" s="215">
        <v>100</v>
      </c>
      <c r="P194" s="214">
        <v>1</v>
      </c>
    </row>
    <row r="195" spans="1:16">
      <c r="A195" s="205">
        <f>(SUM(A194,1))</f>
        <v>156</v>
      </c>
      <c r="B195" s="224" t="s">
        <v>2336</v>
      </c>
      <c r="C195" s="219" t="s">
        <v>450</v>
      </c>
      <c r="D195" s="214">
        <v>28</v>
      </c>
      <c r="E195" s="218">
        <f>ROUND($I$246*I195,1)</f>
        <v>0</v>
      </c>
      <c r="F195" s="217">
        <f>PRODUCT(D195,E195)</f>
        <v>0</v>
      </c>
      <c r="G195" s="218">
        <f>ROUND($J$1*J195,1)</f>
        <v>92.2</v>
      </c>
      <c r="H195" s="217">
        <f>PRODUCT(D195,G195)</f>
        <v>2581.6</v>
      </c>
      <c r="I195" s="216">
        <v>0</v>
      </c>
      <c r="J195" s="215">
        <v>17.399999999999999</v>
      </c>
      <c r="P195" s="214">
        <v>28</v>
      </c>
    </row>
    <row r="196" spans="1:16">
      <c r="A196" s="205">
        <f>(SUM(A195,1))</f>
        <v>157</v>
      </c>
      <c r="B196" s="224" t="s">
        <v>2335</v>
      </c>
      <c r="C196" s="219" t="s">
        <v>2177</v>
      </c>
      <c r="D196" s="214">
        <v>1</v>
      </c>
      <c r="E196" s="218">
        <f>ROUND($I$246*I196,1)</f>
        <v>5040</v>
      </c>
      <c r="F196" s="217">
        <f>PRODUCT(D196,E196)</f>
        <v>5040</v>
      </c>
      <c r="G196" s="218">
        <f>ROUND($J$1*J196,1)</f>
        <v>2226</v>
      </c>
      <c r="H196" s="217">
        <f>PRODUCT(D196,G196)</f>
        <v>2226</v>
      </c>
      <c r="I196" s="216">
        <v>4200</v>
      </c>
      <c r="J196" s="215">
        <v>420</v>
      </c>
      <c r="P196" s="214">
        <v>1</v>
      </c>
    </row>
    <row r="197" spans="1:16">
      <c r="A197" s="201">
        <f>(SUM(A196,1))</f>
        <v>158</v>
      </c>
      <c r="B197" s="198"/>
      <c r="C197" s="200"/>
      <c r="D197" s="200"/>
      <c r="E197" s="200"/>
      <c r="F197" s="199">
        <f>SUM(F184:F196)</f>
        <v>144588.20000000001</v>
      </c>
      <c r="G197" s="198"/>
      <c r="H197" s="199">
        <f>SUM(H184:H196)</f>
        <v>13250.5</v>
      </c>
    </row>
    <row r="198" spans="1:16">
      <c r="A198" s="196">
        <f>(SUM(A197,1))</f>
        <v>159</v>
      </c>
      <c r="B198" s="195" t="s">
        <v>2176</v>
      </c>
      <c r="C198" s="192"/>
      <c r="D198" s="194">
        <v>3</v>
      </c>
      <c r="E198" s="192" t="s">
        <v>565</v>
      </c>
      <c r="F198" s="213">
        <f>ROUND(F197*D198*0.01,1)</f>
        <v>4337.6000000000004</v>
      </c>
      <c r="G198" s="192"/>
      <c r="H198" s="191"/>
    </row>
    <row r="199" spans="1:16">
      <c r="A199" s="196">
        <f>(SUM(A198,1))</f>
        <v>160</v>
      </c>
      <c r="B199" s="195" t="s">
        <v>2175</v>
      </c>
      <c r="C199" s="192"/>
      <c r="D199" s="194">
        <v>0</v>
      </c>
      <c r="E199" s="192" t="s">
        <v>565</v>
      </c>
      <c r="F199" s="193"/>
      <c r="G199" s="192"/>
      <c r="H199" s="213">
        <f>ROUND(H197*D199*0.01,1)</f>
        <v>0</v>
      </c>
    </row>
    <row r="200" spans="1:16">
      <c r="A200" s="190">
        <f>(SUM(A199,1))</f>
        <v>161</v>
      </c>
      <c r="B200" s="189" t="s">
        <v>2168</v>
      </c>
      <c r="C200" s="188"/>
      <c r="D200" s="188"/>
      <c r="E200" s="188"/>
      <c r="F200" s="187">
        <f>SUM(F197:F199)</f>
        <v>148925.80000000002</v>
      </c>
      <c r="G200" s="212"/>
      <c r="H200" s="187">
        <f>SUM(H197:H199)</f>
        <v>13250.5</v>
      </c>
    </row>
    <row r="201" spans="1:16">
      <c r="A201" s="178"/>
      <c r="B201" s="229"/>
      <c r="C201" s="192"/>
      <c r="D201" s="192"/>
      <c r="E201" s="192"/>
      <c r="F201" s="228"/>
      <c r="G201" s="192"/>
      <c r="H201" s="228"/>
    </row>
    <row r="202" spans="1:16">
      <c r="A202" s="178"/>
      <c r="B202" s="229"/>
      <c r="C202" s="192"/>
      <c r="D202" s="192"/>
      <c r="E202" s="192"/>
      <c r="F202" s="228"/>
      <c r="G202" s="192"/>
      <c r="H202" s="228"/>
    </row>
    <row r="203" spans="1:16">
      <c r="B203" s="229"/>
      <c r="C203" s="192"/>
      <c r="D203" s="192"/>
      <c r="E203" s="192"/>
      <c r="F203" s="228"/>
      <c r="G203" s="192"/>
      <c r="H203" s="228"/>
    </row>
    <row r="204" spans="1:16">
      <c r="B204" s="227" t="s">
        <v>2354</v>
      </c>
      <c r="C204" s="210"/>
      <c r="D204" s="210"/>
      <c r="E204" s="299" t="s">
        <v>2173</v>
      </c>
      <c r="F204" s="299"/>
      <c r="G204" s="299" t="s">
        <v>2172</v>
      </c>
      <c r="H204" s="299"/>
      <c r="I204" s="215">
        <v>1.2</v>
      </c>
    </row>
    <row r="205" spans="1:16">
      <c r="A205" s="209" t="s">
        <v>2171</v>
      </c>
      <c r="B205" s="226" t="s">
        <v>2170</v>
      </c>
      <c r="C205" s="207" t="s">
        <v>2185</v>
      </c>
      <c r="D205" s="206" t="s">
        <v>2184</v>
      </c>
      <c r="E205" s="207" t="s">
        <v>2183</v>
      </c>
      <c r="F205" s="206" t="s">
        <v>2169</v>
      </c>
      <c r="G205" s="207" t="s">
        <v>2183</v>
      </c>
      <c r="H205" s="206" t="s">
        <v>2169</v>
      </c>
      <c r="I205" s="225"/>
    </row>
    <row r="206" spans="1:16">
      <c r="A206" s="205">
        <f>(SUM(A200,1))</f>
        <v>162</v>
      </c>
      <c r="B206" s="224" t="s">
        <v>2353</v>
      </c>
      <c r="C206" s="219" t="s">
        <v>450</v>
      </c>
      <c r="D206" s="214">
        <v>1</v>
      </c>
      <c r="E206" s="218">
        <f>ROUND($I$246*I206,1)</f>
        <v>6900.7</v>
      </c>
      <c r="F206" s="217">
        <f>PRODUCT(D206,E206)</f>
        <v>6900.7</v>
      </c>
      <c r="G206" s="218">
        <f>ROUND($J$1*J206,1)</f>
        <v>795</v>
      </c>
      <c r="H206" s="217">
        <f>PRODUCT(D206,G206)</f>
        <v>795</v>
      </c>
      <c r="I206" s="215">
        <f>5750.56</f>
        <v>5750.56</v>
      </c>
      <c r="J206" s="215">
        <v>150</v>
      </c>
    </row>
    <row r="207" spans="1:16">
      <c r="A207" s="205">
        <f>(SUM(A206,1))</f>
        <v>163</v>
      </c>
      <c r="B207" s="230" t="s">
        <v>2352</v>
      </c>
      <c r="C207" s="219" t="s">
        <v>450</v>
      </c>
      <c r="D207" s="214">
        <v>1</v>
      </c>
      <c r="E207" s="218">
        <f>ROUND($I$246*I207,1)</f>
        <v>2380.8000000000002</v>
      </c>
      <c r="F207" s="217">
        <f>PRODUCT(D207,E207)</f>
        <v>2380.8000000000002</v>
      </c>
      <c r="G207" s="218">
        <f>ROUND($J$1*J207,1)</f>
        <v>180.2</v>
      </c>
      <c r="H207" s="217">
        <f>PRODUCT(D207,G207)</f>
        <v>180.2</v>
      </c>
      <c r="I207" s="216">
        <v>1984</v>
      </c>
      <c r="J207" s="215">
        <v>34</v>
      </c>
      <c r="P207" s="214">
        <v>1</v>
      </c>
    </row>
    <row r="208" spans="1:16">
      <c r="A208" s="205">
        <f>(SUM(A207,1))</f>
        <v>164</v>
      </c>
      <c r="B208" s="224" t="s">
        <v>2343</v>
      </c>
      <c r="C208" s="219" t="s">
        <v>450</v>
      </c>
      <c r="D208" s="214">
        <v>1</v>
      </c>
      <c r="E208" s="218">
        <f>ROUND($I$246*I208,1)</f>
        <v>13116</v>
      </c>
      <c r="F208" s="217">
        <f>PRODUCT(D208,E208)</f>
        <v>13116</v>
      </c>
      <c r="G208" s="218">
        <f>ROUND($J$1*J208,1)</f>
        <v>360.4</v>
      </c>
      <c r="H208" s="217">
        <f>PRODUCT(D208,G208)</f>
        <v>360.4</v>
      </c>
      <c r="I208" s="216">
        <v>10930</v>
      </c>
      <c r="J208" s="215">
        <v>68</v>
      </c>
      <c r="P208" s="214">
        <v>1</v>
      </c>
    </row>
    <row r="209" spans="1:16">
      <c r="A209" s="205">
        <f>(SUM(A208,1))</f>
        <v>165</v>
      </c>
      <c r="B209" s="224" t="s">
        <v>2342</v>
      </c>
      <c r="C209" s="219" t="s">
        <v>450</v>
      </c>
      <c r="D209" s="214">
        <v>1</v>
      </c>
      <c r="E209" s="218">
        <f>ROUND($I$246*I209,1)</f>
        <v>1237.2</v>
      </c>
      <c r="F209" s="217">
        <f>PRODUCT(D209,E209)</f>
        <v>1237.2</v>
      </c>
      <c r="G209" s="218">
        <f>ROUND($J$1*J209,1)</f>
        <v>180.2</v>
      </c>
      <c r="H209" s="217">
        <f>PRODUCT(D209,G209)</f>
        <v>180.2</v>
      </c>
      <c r="I209" s="216">
        <v>1031</v>
      </c>
      <c r="J209" s="215">
        <v>34</v>
      </c>
      <c r="P209" s="214">
        <v>3</v>
      </c>
    </row>
    <row r="210" spans="1:16">
      <c r="A210" s="205">
        <f>(SUM(A209,1))</f>
        <v>166</v>
      </c>
      <c r="B210" s="224" t="s">
        <v>2351</v>
      </c>
      <c r="C210" s="219" t="s">
        <v>450</v>
      </c>
      <c r="D210" s="214">
        <v>3</v>
      </c>
      <c r="E210" s="218">
        <f>ROUND($I$246*I210,1)</f>
        <v>696</v>
      </c>
      <c r="F210" s="217">
        <f>PRODUCT(D210,E210)</f>
        <v>2088</v>
      </c>
      <c r="G210" s="218">
        <f>ROUND($J$1*J210,1)</f>
        <v>180.2</v>
      </c>
      <c r="H210" s="217">
        <f>PRODUCT(D210,G210)</f>
        <v>540.59999999999991</v>
      </c>
      <c r="I210" s="216">
        <v>580</v>
      </c>
      <c r="J210" s="215">
        <v>34</v>
      </c>
      <c r="P210" s="214">
        <v>5</v>
      </c>
    </row>
    <row r="211" spans="1:16">
      <c r="A211" s="205">
        <f>(SUM(A210,1))</f>
        <v>167</v>
      </c>
      <c r="B211" s="224" t="s">
        <v>2350</v>
      </c>
      <c r="C211" s="219" t="s">
        <v>450</v>
      </c>
      <c r="D211" s="214">
        <v>1</v>
      </c>
      <c r="E211" s="218">
        <f>ROUND($I$246*I211,1)</f>
        <v>187.2</v>
      </c>
      <c r="F211" s="217">
        <f>PRODUCT(D211,E211)</f>
        <v>187.2</v>
      </c>
      <c r="G211" s="218">
        <f>ROUND($J$1*J211,1)</f>
        <v>90.1</v>
      </c>
      <c r="H211" s="217">
        <f>PRODUCT(D211,G211)</f>
        <v>90.1</v>
      </c>
      <c r="I211" s="216">
        <v>156</v>
      </c>
      <c r="J211" s="215">
        <v>17</v>
      </c>
      <c r="P211" s="214">
        <v>15</v>
      </c>
    </row>
    <row r="212" spans="1:16">
      <c r="A212" s="205">
        <f>(SUM(A211,1))</f>
        <v>168</v>
      </c>
      <c r="B212" s="224" t="s">
        <v>2339</v>
      </c>
      <c r="C212" s="219" t="s">
        <v>450</v>
      </c>
      <c r="D212" s="214">
        <v>1</v>
      </c>
      <c r="E212" s="218">
        <f>ROUND($I$246*I212,1)</f>
        <v>225.6</v>
      </c>
      <c r="F212" s="217">
        <f>PRODUCT(D212,E212)</f>
        <v>225.6</v>
      </c>
      <c r="G212" s="218">
        <f>ROUND($J$1*J212,1)</f>
        <v>90.1</v>
      </c>
      <c r="H212" s="217">
        <f>PRODUCT(D212,G212)</f>
        <v>90.1</v>
      </c>
      <c r="I212" s="216">
        <v>188</v>
      </c>
      <c r="J212" s="215">
        <v>17</v>
      </c>
      <c r="P212" s="214">
        <v>11</v>
      </c>
    </row>
    <row r="213" spans="1:16">
      <c r="A213" s="205">
        <f>(SUM(A212,1))</f>
        <v>169</v>
      </c>
      <c r="B213" s="224" t="s">
        <v>2349</v>
      </c>
      <c r="C213" s="219" t="s">
        <v>450</v>
      </c>
      <c r="D213" s="214">
        <v>1</v>
      </c>
      <c r="E213" s="218">
        <f>ROUND($I$246*I213,1)</f>
        <v>1789.3</v>
      </c>
      <c r="F213" s="217">
        <f>PRODUCT(D213,E213)</f>
        <v>1789.3</v>
      </c>
      <c r="G213" s="218">
        <f>ROUND(J213*$J$1,1)</f>
        <v>206.7</v>
      </c>
      <c r="H213" s="244">
        <f>PRODUCT(D213,G213)</f>
        <v>206.7</v>
      </c>
      <c r="I213" s="215">
        <v>1491.08</v>
      </c>
      <c r="J213" s="215">
        <v>39</v>
      </c>
    </row>
    <row r="214" spans="1:16">
      <c r="A214" s="205">
        <f>(SUM(A213,1))</f>
        <v>170</v>
      </c>
      <c r="B214" s="224" t="s">
        <v>2348</v>
      </c>
      <c r="C214" s="219" t="s">
        <v>450</v>
      </c>
      <c r="D214" s="214">
        <v>3</v>
      </c>
      <c r="E214" s="218">
        <f>ROUND($I$246*I214,1)</f>
        <v>752</v>
      </c>
      <c r="F214" s="217">
        <f>PRODUCT(D214,E214)</f>
        <v>2256</v>
      </c>
      <c r="G214" s="218">
        <f>ROUND(J214*$J$1,1)</f>
        <v>206.7</v>
      </c>
      <c r="H214" s="244">
        <f>PRODUCT(D214,G214)</f>
        <v>620.09999999999991</v>
      </c>
      <c r="I214" s="215">
        <v>626.63</v>
      </c>
      <c r="J214" s="215">
        <v>39</v>
      </c>
    </row>
    <row r="215" spans="1:16">
      <c r="A215" s="205">
        <f>(SUM(A214,1))</f>
        <v>171</v>
      </c>
      <c r="B215" s="224" t="s">
        <v>2347</v>
      </c>
      <c r="C215" s="219" t="s">
        <v>450</v>
      </c>
      <c r="D215" s="214">
        <v>1</v>
      </c>
      <c r="E215" s="218">
        <f>ROUND($I$246*I215,1)</f>
        <v>782.4</v>
      </c>
      <c r="F215" s="217">
        <f>PRODUCT(D215,E215)</f>
        <v>782.4</v>
      </c>
      <c r="G215" s="218">
        <f>ROUND(J215*$J$1,1)</f>
        <v>143.1</v>
      </c>
      <c r="H215" s="244">
        <f>PRODUCT(D215,G215)</f>
        <v>143.1</v>
      </c>
      <c r="I215" s="215">
        <v>651.99</v>
      </c>
      <c r="J215" s="215">
        <v>27</v>
      </c>
    </row>
    <row r="216" spans="1:16">
      <c r="A216" s="205">
        <f>(SUM(A215,1))</f>
        <v>172</v>
      </c>
      <c r="B216" s="224" t="s">
        <v>2337</v>
      </c>
      <c r="C216" s="219" t="s">
        <v>450</v>
      </c>
      <c r="D216" s="214">
        <v>1</v>
      </c>
      <c r="E216" s="218">
        <f>ROUND($I$246*I216,1)</f>
        <v>0</v>
      </c>
      <c r="F216" s="217">
        <f>PRODUCT(D216,E216)</f>
        <v>0</v>
      </c>
      <c r="G216" s="218">
        <f>ROUND(J216*$J$1,1)</f>
        <v>148.4</v>
      </c>
      <c r="H216" s="217">
        <f>PRODUCT(D216,G216)</f>
        <v>148.4</v>
      </c>
      <c r="I216" s="216">
        <v>0</v>
      </c>
      <c r="J216" s="215">
        <v>28</v>
      </c>
      <c r="P216" s="214">
        <v>1</v>
      </c>
    </row>
    <row r="217" spans="1:16">
      <c r="A217" s="205">
        <f>(SUM(A216,1))</f>
        <v>173</v>
      </c>
      <c r="B217" s="224" t="s">
        <v>2336</v>
      </c>
      <c r="C217" s="219" t="s">
        <v>450</v>
      </c>
      <c r="D217" s="214">
        <v>6</v>
      </c>
      <c r="E217" s="218">
        <f>ROUND($I$246*I217,1)</f>
        <v>0</v>
      </c>
      <c r="F217" s="217">
        <f>PRODUCT(D217,E217)</f>
        <v>0</v>
      </c>
      <c r="G217" s="218">
        <f>ROUND($J$1*J217,1)</f>
        <v>92.2</v>
      </c>
      <c r="H217" s="217">
        <f>PRODUCT(D217,G217)</f>
        <v>553.20000000000005</v>
      </c>
      <c r="I217" s="216">
        <v>0</v>
      </c>
      <c r="J217" s="215">
        <v>17.399999999999999</v>
      </c>
      <c r="P217" s="214">
        <v>72</v>
      </c>
    </row>
    <row r="218" spans="1:16">
      <c r="A218" s="205">
        <f>(SUM(A217,1))</f>
        <v>174</v>
      </c>
      <c r="B218" s="224" t="s">
        <v>2335</v>
      </c>
      <c r="C218" s="219" t="s">
        <v>2177</v>
      </c>
      <c r="D218" s="214">
        <v>1</v>
      </c>
      <c r="E218" s="218">
        <f>ROUND($I$246*I218,1)</f>
        <v>4200</v>
      </c>
      <c r="F218" s="217">
        <f>PRODUCT(D218,E218)</f>
        <v>4200</v>
      </c>
      <c r="G218" s="218">
        <f>ROUND($J$1*J218,1)</f>
        <v>1855</v>
      </c>
      <c r="H218" s="217">
        <f>PRODUCT(D218,G218)</f>
        <v>1855</v>
      </c>
      <c r="I218" s="216">
        <v>3500</v>
      </c>
      <c r="J218" s="215">
        <v>350</v>
      </c>
      <c r="P218" s="214">
        <v>1</v>
      </c>
    </row>
    <row r="219" spans="1:16">
      <c r="A219" s="201">
        <f>(SUM(A218,1))</f>
        <v>175</v>
      </c>
      <c r="B219" s="198"/>
      <c r="C219" s="200"/>
      <c r="D219" s="200"/>
      <c r="E219" s="200"/>
      <c r="F219" s="199">
        <f>SUM(F206:F218)</f>
        <v>35163.199999999997</v>
      </c>
      <c r="G219" s="198"/>
      <c r="H219" s="199">
        <f>SUM(H206:H218)</f>
        <v>5763.0999999999995</v>
      </c>
    </row>
    <row r="220" spans="1:16">
      <c r="A220" s="196">
        <f>(SUM(A219,1))</f>
        <v>176</v>
      </c>
      <c r="B220" s="195" t="s">
        <v>2176</v>
      </c>
      <c r="C220" s="192"/>
      <c r="D220" s="194">
        <v>3</v>
      </c>
      <c r="E220" s="192" t="s">
        <v>565</v>
      </c>
      <c r="F220" s="213">
        <f>ROUND(F219*D220*0.01,1)</f>
        <v>1054.9000000000001</v>
      </c>
      <c r="G220" s="192"/>
      <c r="H220" s="191"/>
    </row>
    <row r="221" spans="1:16">
      <c r="A221" s="196">
        <f>(SUM(A220,1))</f>
        <v>177</v>
      </c>
      <c r="B221" s="195" t="s">
        <v>2175</v>
      </c>
      <c r="C221" s="192"/>
      <c r="D221" s="194">
        <v>0</v>
      </c>
      <c r="E221" s="192" t="s">
        <v>565</v>
      </c>
      <c r="F221" s="193"/>
      <c r="G221" s="192"/>
      <c r="H221" s="213">
        <f>ROUND(H219*D221*0.01,1)</f>
        <v>0</v>
      </c>
    </row>
    <row r="222" spans="1:16">
      <c r="A222" s="190">
        <f>(SUM(A221,1))</f>
        <v>178</v>
      </c>
      <c r="B222" s="189" t="s">
        <v>2168</v>
      </c>
      <c r="C222" s="188"/>
      <c r="D222" s="188"/>
      <c r="E222" s="188"/>
      <c r="F222" s="187">
        <f>SUM(F219:F221)</f>
        <v>36218.1</v>
      </c>
      <c r="G222" s="212"/>
      <c r="H222" s="187">
        <f>SUM(H219:H221)</f>
        <v>5763.0999999999995</v>
      </c>
    </row>
    <row r="223" spans="1:16">
      <c r="B223" s="229"/>
      <c r="C223" s="192"/>
      <c r="D223" s="192"/>
      <c r="E223" s="192"/>
      <c r="F223" s="228"/>
      <c r="G223" s="192"/>
      <c r="H223" s="228"/>
    </row>
    <row r="224" spans="1:16">
      <c r="B224" s="229"/>
      <c r="C224" s="192"/>
      <c r="D224" s="192"/>
      <c r="E224" s="192"/>
      <c r="F224" s="228"/>
      <c r="G224" s="192"/>
      <c r="H224" s="228"/>
    </row>
    <row r="225" spans="1:16">
      <c r="B225" s="229"/>
      <c r="C225" s="192"/>
      <c r="D225" s="192"/>
      <c r="E225" s="192"/>
      <c r="F225" s="228"/>
      <c r="G225" s="192"/>
      <c r="H225" s="228"/>
    </row>
    <row r="226" spans="1:16">
      <c r="B226" s="227" t="s">
        <v>2346</v>
      </c>
      <c r="C226" s="210"/>
      <c r="D226" s="210"/>
      <c r="E226" s="299" t="s">
        <v>2173</v>
      </c>
      <c r="F226" s="299"/>
      <c r="G226" s="299" t="s">
        <v>2172</v>
      </c>
      <c r="H226" s="299"/>
      <c r="I226" s="215">
        <v>1.2</v>
      </c>
    </row>
    <row r="227" spans="1:16">
      <c r="A227" s="209" t="s">
        <v>2171</v>
      </c>
      <c r="B227" s="226" t="s">
        <v>2170</v>
      </c>
      <c r="C227" s="207" t="s">
        <v>2185</v>
      </c>
      <c r="D227" s="206" t="s">
        <v>2184</v>
      </c>
      <c r="E227" s="207" t="s">
        <v>2183</v>
      </c>
      <c r="F227" s="206" t="s">
        <v>2169</v>
      </c>
      <c r="G227" s="207" t="s">
        <v>2183</v>
      </c>
      <c r="H227" s="206" t="s">
        <v>2169</v>
      </c>
      <c r="I227" s="225"/>
    </row>
    <row r="228" spans="1:16">
      <c r="A228" s="205">
        <f>(SUM(A222,1))</f>
        <v>179</v>
      </c>
      <c r="B228" s="224" t="s">
        <v>2345</v>
      </c>
      <c r="C228" s="219" t="s">
        <v>450</v>
      </c>
      <c r="D228" s="214">
        <v>1</v>
      </c>
      <c r="E228" s="218">
        <f>ROUND($I$246*I228,1)</f>
        <v>8280</v>
      </c>
      <c r="F228" s="217">
        <f>PRODUCT(D228,E228)</f>
        <v>8280</v>
      </c>
      <c r="G228" s="218">
        <f>ROUND($J$1*J228,1)</f>
        <v>795</v>
      </c>
      <c r="H228" s="217">
        <f>PRODUCT(D228,G228)</f>
        <v>795</v>
      </c>
      <c r="I228" s="215">
        <f>6900</f>
        <v>6900</v>
      </c>
      <c r="J228" s="215">
        <v>150</v>
      </c>
    </row>
    <row r="229" spans="1:16">
      <c r="A229" s="205">
        <f>(SUM(A228,1))</f>
        <v>180</v>
      </c>
      <c r="B229" s="230" t="s">
        <v>2344</v>
      </c>
      <c r="C229" s="219" t="s">
        <v>450</v>
      </c>
      <c r="D229" s="214">
        <v>1</v>
      </c>
      <c r="E229" s="218">
        <f>ROUND($I$246*I229,1)</f>
        <v>2460</v>
      </c>
      <c r="F229" s="217">
        <f>PRODUCT(D229,E229)</f>
        <v>2460</v>
      </c>
      <c r="G229" s="218">
        <f>ROUND($J$1*J229,1)</f>
        <v>238.5</v>
      </c>
      <c r="H229" s="217">
        <f>PRODUCT(D229,G229)</f>
        <v>238.5</v>
      </c>
      <c r="I229" s="216">
        <v>2050</v>
      </c>
      <c r="J229" s="215">
        <v>45</v>
      </c>
      <c r="P229" s="214">
        <v>1</v>
      </c>
    </row>
    <row r="230" spans="1:16">
      <c r="A230" s="205">
        <f>(SUM(A229,1))</f>
        <v>181</v>
      </c>
      <c r="B230" s="224" t="s">
        <v>2343</v>
      </c>
      <c r="C230" s="219" t="s">
        <v>450</v>
      </c>
      <c r="D230" s="214">
        <v>1</v>
      </c>
      <c r="E230" s="218">
        <f>ROUND($I$246*I230,1)</f>
        <v>13116</v>
      </c>
      <c r="F230" s="217">
        <f>PRODUCT(D230,E230)</f>
        <v>13116</v>
      </c>
      <c r="G230" s="218">
        <f>ROUND($J$1*J230,1)</f>
        <v>360.4</v>
      </c>
      <c r="H230" s="217">
        <f>PRODUCT(D230,G230)</f>
        <v>360.4</v>
      </c>
      <c r="I230" s="216">
        <v>10930</v>
      </c>
      <c r="J230" s="215">
        <v>68</v>
      </c>
      <c r="P230" s="214">
        <v>1</v>
      </c>
    </row>
    <row r="231" spans="1:16">
      <c r="A231" s="205">
        <f>(SUM(A230,1))</f>
        <v>182</v>
      </c>
      <c r="B231" s="224" t="s">
        <v>2342</v>
      </c>
      <c r="C231" s="219" t="s">
        <v>450</v>
      </c>
      <c r="D231" s="214">
        <v>1</v>
      </c>
      <c r="E231" s="218">
        <f>ROUND($I$246*I231,1)</f>
        <v>1237.2</v>
      </c>
      <c r="F231" s="217">
        <f>PRODUCT(D231,E231)</f>
        <v>1237.2</v>
      </c>
      <c r="G231" s="218">
        <f>ROUND($J$1*J231,1)</f>
        <v>180.2</v>
      </c>
      <c r="H231" s="217">
        <f>PRODUCT(D231,G231)</f>
        <v>180.2</v>
      </c>
      <c r="I231" s="216">
        <v>1031</v>
      </c>
      <c r="J231" s="215">
        <v>34</v>
      </c>
      <c r="P231" s="214">
        <v>3</v>
      </c>
    </row>
    <row r="232" spans="1:16">
      <c r="A232" s="205">
        <f>(SUM(A231,1))</f>
        <v>183</v>
      </c>
      <c r="B232" s="224" t="s">
        <v>2341</v>
      </c>
      <c r="C232" s="219" t="s">
        <v>450</v>
      </c>
      <c r="D232" s="301">
        <v>2</v>
      </c>
      <c r="E232" s="218">
        <f>ROUND($I$246*I232,1)</f>
        <v>992.4</v>
      </c>
      <c r="F232" s="217">
        <f>PRODUCT(D232,E232)</f>
        <v>1984.8</v>
      </c>
      <c r="G232" s="218">
        <f>ROUND($J$1*J232,1)</f>
        <v>180.2</v>
      </c>
      <c r="H232" s="217">
        <f>PRODUCT(D232,G232)</f>
        <v>360.4</v>
      </c>
      <c r="I232" s="216">
        <v>827</v>
      </c>
      <c r="J232" s="215">
        <v>34</v>
      </c>
      <c r="P232" s="214">
        <v>3</v>
      </c>
    </row>
    <row r="233" spans="1:16">
      <c r="A233" s="205">
        <f>(SUM(A232,1))</f>
        <v>184</v>
      </c>
      <c r="B233" s="224" t="s">
        <v>2340</v>
      </c>
      <c r="C233" s="219" t="s">
        <v>450</v>
      </c>
      <c r="D233" s="214">
        <v>1</v>
      </c>
      <c r="E233" s="218">
        <f>ROUND($I$246*I233,1)</f>
        <v>868.8</v>
      </c>
      <c r="F233" s="217">
        <f>PRODUCT(D233,E233)</f>
        <v>868.8</v>
      </c>
      <c r="G233" s="218">
        <f>ROUND($J$1*J233,1)</f>
        <v>180.2</v>
      </c>
      <c r="H233" s="217">
        <f>PRODUCT(D233,G233)</f>
        <v>180.2</v>
      </c>
      <c r="I233" s="216">
        <v>724</v>
      </c>
      <c r="J233" s="215">
        <v>34</v>
      </c>
      <c r="P233" s="214">
        <v>3</v>
      </c>
    </row>
    <row r="234" spans="1:16">
      <c r="A234" s="205">
        <f>(SUM(A233,1))</f>
        <v>185</v>
      </c>
      <c r="B234" s="224" t="s">
        <v>2339</v>
      </c>
      <c r="C234" s="219" t="s">
        <v>450</v>
      </c>
      <c r="D234" s="214">
        <v>2</v>
      </c>
      <c r="E234" s="218">
        <f>ROUND($I$246*I234,1)</f>
        <v>225.6</v>
      </c>
      <c r="F234" s="217">
        <f>PRODUCT(D234,E234)</f>
        <v>451.2</v>
      </c>
      <c r="G234" s="218">
        <f>ROUND($J$1*J234,1)</f>
        <v>90.1</v>
      </c>
      <c r="H234" s="217">
        <f>PRODUCT(D234,G234)</f>
        <v>180.2</v>
      </c>
      <c r="I234" s="216">
        <v>188</v>
      </c>
      <c r="J234" s="215">
        <v>17</v>
      </c>
      <c r="P234" s="214">
        <v>11</v>
      </c>
    </row>
    <row r="235" spans="1:16">
      <c r="A235" s="205">
        <f>(SUM(A234,1))</f>
        <v>186</v>
      </c>
      <c r="B235" s="224" t="s">
        <v>2338</v>
      </c>
      <c r="C235" s="219" t="s">
        <v>450</v>
      </c>
      <c r="D235" s="214">
        <v>1</v>
      </c>
      <c r="E235" s="218">
        <f>ROUND($I$246*I235,1)</f>
        <v>3096.6</v>
      </c>
      <c r="F235" s="217">
        <f>PRODUCT(D235,E235)</f>
        <v>3096.6</v>
      </c>
      <c r="G235" s="218">
        <f>ROUND(J235*$J$1,1)</f>
        <v>206.7</v>
      </c>
      <c r="H235" s="244">
        <f>PRODUCT(D235,G235)</f>
        <v>206.7</v>
      </c>
      <c r="I235" s="215">
        <v>2580.52</v>
      </c>
      <c r="J235" s="215">
        <v>39</v>
      </c>
    </row>
    <row r="236" spans="1:16">
      <c r="A236" s="205">
        <f>(SUM(A235,1))</f>
        <v>187</v>
      </c>
      <c r="B236" s="224" t="s">
        <v>2337</v>
      </c>
      <c r="C236" s="219" t="s">
        <v>450</v>
      </c>
      <c r="D236" s="214">
        <v>1</v>
      </c>
      <c r="E236" s="218">
        <f>ROUND($I$246*I236,1)</f>
        <v>0</v>
      </c>
      <c r="F236" s="217">
        <f>PRODUCT(D236,E236)</f>
        <v>0</v>
      </c>
      <c r="G236" s="218">
        <f>ROUND(J236*$J$1,1)</f>
        <v>148.4</v>
      </c>
      <c r="H236" s="217">
        <f>PRODUCT(D236,G236)</f>
        <v>148.4</v>
      </c>
      <c r="I236" s="216">
        <v>0</v>
      </c>
      <c r="J236" s="215">
        <v>28</v>
      </c>
      <c r="P236" s="214">
        <v>1</v>
      </c>
    </row>
    <row r="237" spans="1:16">
      <c r="A237" s="205">
        <f>(SUM(A236,1))</f>
        <v>188</v>
      </c>
      <c r="B237" s="224" t="s">
        <v>2336</v>
      </c>
      <c r="C237" s="219" t="s">
        <v>450</v>
      </c>
      <c r="D237" s="214">
        <v>7</v>
      </c>
      <c r="E237" s="218">
        <f>ROUND($I$246*I237,1)</f>
        <v>0</v>
      </c>
      <c r="F237" s="217">
        <f>PRODUCT(D237,E237)</f>
        <v>0</v>
      </c>
      <c r="G237" s="218">
        <f>ROUND($J$1*J237,1)</f>
        <v>92.2</v>
      </c>
      <c r="H237" s="217">
        <f>PRODUCT(D237,G237)</f>
        <v>645.4</v>
      </c>
      <c r="I237" s="216">
        <v>0</v>
      </c>
      <c r="J237" s="215">
        <v>17.399999999999999</v>
      </c>
      <c r="P237" s="214">
        <v>72</v>
      </c>
    </row>
    <row r="238" spans="1:16">
      <c r="A238" s="205">
        <f>(SUM(A237,1))</f>
        <v>189</v>
      </c>
      <c r="B238" s="224" t="s">
        <v>2335</v>
      </c>
      <c r="C238" s="219" t="s">
        <v>2177</v>
      </c>
      <c r="D238" s="214">
        <v>1</v>
      </c>
      <c r="E238" s="218">
        <f>ROUND($I$246*I238,1)</f>
        <v>4200</v>
      </c>
      <c r="F238" s="217">
        <f>PRODUCT(D238,E238)</f>
        <v>4200</v>
      </c>
      <c r="G238" s="218">
        <f>ROUND($J$1*J238,1)</f>
        <v>1855</v>
      </c>
      <c r="H238" s="217">
        <f>PRODUCT(D238,G238)</f>
        <v>1855</v>
      </c>
      <c r="I238" s="216">
        <v>3500</v>
      </c>
      <c r="J238" s="215">
        <v>350</v>
      </c>
      <c r="P238" s="214">
        <v>1</v>
      </c>
    </row>
    <row r="239" spans="1:16">
      <c r="A239" s="201">
        <f>(SUM(A238,1))</f>
        <v>190</v>
      </c>
      <c r="B239" s="198"/>
      <c r="C239" s="200"/>
      <c r="D239" s="200"/>
      <c r="E239" s="200"/>
      <c r="F239" s="199">
        <f>SUM(F228:F238)</f>
        <v>35694.6</v>
      </c>
      <c r="G239" s="198"/>
      <c r="H239" s="199">
        <f>SUM(H228:H238)</f>
        <v>5150.3999999999996</v>
      </c>
    </row>
    <row r="240" spans="1:16">
      <c r="A240" s="196">
        <f>(SUM(A239,1))</f>
        <v>191</v>
      </c>
      <c r="B240" s="195" t="s">
        <v>2176</v>
      </c>
      <c r="C240" s="192"/>
      <c r="D240" s="194">
        <v>3</v>
      </c>
      <c r="E240" s="192" t="s">
        <v>565</v>
      </c>
      <c r="F240" s="213">
        <f>ROUND(F239*D240*0.01,1)</f>
        <v>1070.8</v>
      </c>
      <c r="G240" s="192"/>
      <c r="H240" s="191"/>
    </row>
    <row r="241" spans="1:16">
      <c r="A241" s="196">
        <f>(SUM(A240,1))</f>
        <v>192</v>
      </c>
      <c r="B241" s="195" t="s">
        <v>2175</v>
      </c>
      <c r="C241" s="192"/>
      <c r="D241" s="194">
        <v>0</v>
      </c>
      <c r="E241" s="192" t="s">
        <v>565</v>
      </c>
      <c r="F241" s="193"/>
      <c r="G241" s="192"/>
      <c r="H241" s="213">
        <f>ROUND(H239*D241*0.01,1)</f>
        <v>0</v>
      </c>
    </row>
    <row r="242" spans="1:16">
      <c r="A242" s="190">
        <f>(SUM(A241,1))</f>
        <v>193</v>
      </c>
      <c r="B242" s="189" t="s">
        <v>2168</v>
      </c>
      <c r="C242" s="188"/>
      <c r="D242" s="188"/>
      <c r="E242" s="188"/>
      <c r="F242" s="187">
        <f>SUM(F239:F241)</f>
        <v>36765.4</v>
      </c>
      <c r="G242" s="212"/>
      <c r="H242" s="187">
        <f>SUM(H239:H241)</f>
        <v>5150.3999999999996</v>
      </c>
    </row>
    <row r="243" spans="1:16">
      <c r="B243" s="229"/>
      <c r="C243" s="192"/>
      <c r="D243" s="192"/>
      <c r="E243" s="192"/>
      <c r="F243" s="228"/>
      <c r="G243" s="192"/>
      <c r="H243" s="228"/>
    </row>
    <row r="244" spans="1:16">
      <c r="B244" s="229"/>
      <c r="C244" s="192"/>
      <c r="D244" s="192"/>
      <c r="E244" s="192"/>
      <c r="F244" s="228"/>
      <c r="G244" s="192"/>
      <c r="H244" s="228"/>
    </row>
    <row r="246" spans="1:16">
      <c r="B246" s="227" t="s">
        <v>2334</v>
      </c>
      <c r="C246" s="210"/>
      <c r="D246" s="210"/>
      <c r="E246" s="299" t="s">
        <v>2173</v>
      </c>
      <c r="F246" s="299"/>
      <c r="G246" s="299" t="s">
        <v>2172</v>
      </c>
      <c r="H246" s="299"/>
      <c r="I246" s="215">
        <v>1.2</v>
      </c>
      <c r="J246" s="215"/>
    </row>
    <row r="247" spans="1:16">
      <c r="A247" s="209" t="s">
        <v>2171</v>
      </c>
      <c r="B247" s="226" t="s">
        <v>2170</v>
      </c>
      <c r="C247" s="207" t="s">
        <v>2185</v>
      </c>
      <c r="D247" s="206" t="s">
        <v>2184</v>
      </c>
      <c r="E247" s="207" t="s">
        <v>2183</v>
      </c>
      <c r="F247" s="206" t="s">
        <v>2169</v>
      </c>
      <c r="G247" s="207" t="s">
        <v>2183</v>
      </c>
      <c r="H247" s="206" t="s">
        <v>2169</v>
      </c>
      <c r="I247" s="178"/>
      <c r="J247" s="178"/>
    </row>
    <row r="248" spans="1:16" ht="16.5">
      <c r="A248" s="205">
        <f>(SUM(A242,1))</f>
        <v>194</v>
      </c>
      <c r="B248" s="242" t="s">
        <v>2333</v>
      </c>
      <c r="C248" s="222" t="s">
        <v>450</v>
      </c>
      <c r="D248" s="221">
        <v>18</v>
      </c>
      <c r="E248" s="218">
        <f>ROUND($I$246*I248,1)</f>
        <v>5244</v>
      </c>
      <c r="F248" s="217">
        <f>PRODUCT(D248,E248)</f>
        <v>94392</v>
      </c>
      <c r="G248" s="218">
        <f>ROUND($J$1*J248,1)</f>
        <v>344.5</v>
      </c>
      <c r="H248" s="217">
        <f>PRODUCT(D248,G248)</f>
        <v>6201</v>
      </c>
      <c r="I248" s="216">
        <f>3570+800</f>
        <v>4370</v>
      </c>
      <c r="J248" s="215">
        <v>65</v>
      </c>
      <c r="P248" s="221">
        <v>38</v>
      </c>
    </row>
    <row r="249" spans="1:16" ht="16.5">
      <c r="A249" s="205">
        <f>(SUM(A248,1))</f>
        <v>195</v>
      </c>
      <c r="B249" s="242" t="s">
        <v>2332</v>
      </c>
      <c r="C249" s="222" t="s">
        <v>450</v>
      </c>
      <c r="D249" s="221">
        <v>2</v>
      </c>
      <c r="E249" s="218">
        <f>ROUND($I$246*I249,1)</f>
        <v>5424</v>
      </c>
      <c r="F249" s="217">
        <f>PRODUCT(D249,E249)</f>
        <v>10848</v>
      </c>
      <c r="G249" s="218">
        <f>ROUND($J$1*J249,1)</f>
        <v>344.5</v>
      </c>
      <c r="H249" s="217">
        <f>PRODUCT(D249,G249)</f>
        <v>689</v>
      </c>
      <c r="I249" s="216">
        <f>3720+800</f>
        <v>4520</v>
      </c>
      <c r="J249" s="215">
        <v>65</v>
      </c>
      <c r="P249" s="221">
        <v>4</v>
      </c>
    </row>
    <row r="250" spans="1:16" ht="16.5">
      <c r="A250" s="205">
        <f>(SUM(A249,1))</f>
        <v>196</v>
      </c>
      <c r="B250" s="242" t="s">
        <v>2331</v>
      </c>
      <c r="C250" s="222" t="s">
        <v>450</v>
      </c>
      <c r="D250" s="221">
        <v>2</v>
      </c>
      <c r="E250" s="218">
        <f>ROUND($I$246*I250,1)</f>
        <v>5124</v>
      </c>
      <c r="F250" s="217">
        <f>PRODUCT(D250,E250)</f>
        <v>10248</v>
      </c>
      <c r="G250" s="218">
        <f>ROUND($J$1*J250,1)</f>
        <v>344.5</v>
      </c>
      <c r="H250" s="217">
        <f>PRODUCT(D250,G250)</f>
        <v>689</v>
      </c>
      <c r="I250" s="216">
        <f>3470+800</f>
        <v>4270</v>
      </c>
      <c r="J250" s="215">
        <v>65</v>
      </c>
      <c r="P250" s="221">
        <v>2</v>
      </c>
    </row>
    <row r="251" spans="1:16" ht="16.5">
      <c r="A251" s="205">
        <f>(SUM(A250,1))</f>
        <v>197</v>
      </c>
      <c r="B251" s="242" t="s">
        <v>2330</v>
      </c>
      <c r="C251" s="222" t="s">
        <v>450</v>
      </c>
      <c r="D251" s="221">
        <v>4</v>
      </c>
      <c r="E251" s="218">
        <f>ROUND($I$246*I251,1)</f>
        <v>5124</v>
      </c>
      <c r="F251" s="217">
        <f>PRODUCT(D251,E251)</f>
        <v>20496</v>
      </c>
      <c r="G251" s="218">
        <f>ROUND($J$1*J251,1)</f>
        <v>344.5</v>
      </c>
      <c r="H251" s="217">
        <f>PRODUCT(D251,G251)</f>
        <v>1378</v>
      </c>
      <c r="I251" s="216">
        <f>3470+800</f>
        <v>4270</v>
      </c>
      <c r="J251" s="215">
        <v>65</v>
      </c>
      <c r="P251" s="221">
        <v>4</v>
      </c>
    </row>
    <row r="252" spans="1:16" ht="16.5">
      <c r="A252" s="205">
        <f>(SUM(A251,1))</f>
        <v>198</v>
      </c>
      <c r="B252" s="242" t="s">
        <v>2329</v>
      </c>
      <c r="C252" s="222" t="s">
        <v>450</v>
      </c>
      <c r="D252" s="221">
        <v>64</v>
      </c>
      <c r="E252" s="218">
        <f>ROUND($I$246*I252,1)</f>
        <v>4920</v>
      </c>
      <c r="F252" s="217">
        <f>PRODUCT(D252,E252)</f>
        <v>314880</v>
      </c>
      <c r="G252" s="218">
        <f>ROUND($J$1*J252,1)</f>
        <v>344.5</v>
      </c>
      <c r="H252" s="217">
        <f>PRODUCT(D252,G252)</f>
        <v>22048</v>
      </c>
      <c r="I252" s="216">
        <f>3300+800</f>
        <v>4100</v>
      </c>
      <c r="J252" s="215">
        <v>65</v>
      </c>
      <c r="P252" s="221">
        <v>118</v>
      </c>
    </row>
    <row r="253" spans="1:16" ht="16.5">
      <c r="A253" s="205">
        <f>(SUM(A252,1))</f>
        <v>199</v>
      </c>
      <c r="B253" s="242" t="s">
        <v>2328</v>
      </c>
      <c r="C253" s="222" t="s">
        <v>450</v>
      </c>
      <c r="D253" s="221">
        <v>9</v>
      </c>
      <c r="E253" s="218">
        <f>ROUND($I$246*I253,1)</f>
        <v>4800</v>
      </c>
      <c r="F253" s="217">
        <f>PRODUCT(D253,E253)</f>
        <v>43200</v>
      </c>
      <c r="G253" s="218">
        <f>ROUND($J$1*J253,1)</f>
        <v>344.5</v>
      </c>
      <c r="H253" s="217">
        <f>PRODUCT(D253,G253)</f>
        <v>3100.5</v>
      </c>
      <c r="I253" s="216">
        <f>3200+800</f>
        <v>4000</v>
      </c>
      <c r="J253" s="215">
        <v>65</v>
      </c>
      <c r="P253" s="221">
        <v>17</v>
      </c>
    </row>
    <row r="254" spans="1:16" ht="16.5">
      <c r="A254" s="205">
        <f>(SUM(A253,1))</f>
        <v>200</v>
      </c>
      <c r="B254" s="242" t="s">
        <v>2327</v>
      </c>
      <c r="C254" s="222" t="s">
        <v>450</v>
      </c>
      <c r="D254" s="221">
        <v>2</v>
      </c>
      <c r="E254" s="218">
        <f>ROUND($I$246*I254,1)</f>
        <v>3024</v>
      </c>
      <c r="F254" s="217">
        <f>PRODUCT(D254,E254)</f>
        <v>6048</v>
      </c>
      <c r="G254" s="218">
        <f>ROUND($J$1*J254,1)</f>
        <v>344.5</v>
      </c>
      <c r="H254" s="217">
        <f>PRODUCT(D254,G254)</f>
        <v>689</v>
      </c>
      <c r="I254" s="216">
        <v>2520</v>
      </c>
      <c r="J254" s="215">
        <v>65</v>
      </c>
      <c r="P254" s="221">
        <v>4</v>
      </c>
    </row>
    <row r="255" spans="1:16" ht="16.5">
      <c r="A255" s="205">
        <f>(SUM(A254,1))</f>
        <v>201</v>
      </c>
      <c r="B255" s="242" t="s">
        <v>2326</v>
      </c>
      <c r="C255" s="222" t="s">
        <v>450</v>
      </c>
      <c r="D255" s="221">
        <v>4</v>
      </c>
      <c r="E255" s="218">
        <f>ROUND($I$246*I255,1)</f>
        <v>2520</v>
      </c>
      <c r="F255" s="217">
        <f>PRODUCT(D255,E255)</f>
        <v>10080</v>
      </c>
      <c r="G255" s="218">
        <f>ROUND($J$1*J255,1)</f>
        <v>344.5</v>
      </c>
      <c r="H255" s="217">
        <f>PRODUCT(D255,G255)</f>
        <v>1378</v>
      </c>
      <c r="I255" s="216">
        <v>2100</v>
      </c>
      <c r="J255" s="215">
        <v>65</v>
      </c>
      <c r="P255" s="221">
        <v>4</v>
      </c>
    </row>
    <row r="256" spans="1:16" ht="16.5">
      <c r="A256" s="205">
        <f>(SUM(A255,1))</f>
        <v>202</v>
      </c>
      <c r="B256" s="242" t="s">
        <v>2325</v>
      </c>
      <c r="C256" s="222" t="s">
        <v>450</v>
      </c>
      <c r="D256" s="221">
        <v>5</v>
      </c>
      <c r="E256" s="218">
        <f>ROUND($I$246*I256,1)</f>
        <v>4814.8999999999996</v>
      </c>
      <c r="F256" s="217">
        <f>PRODUCT(D256,E256)</f>
        <v>24074.5</v>
      </c>
      <c r="G256" s="218">
        <f>ROUND($J$1*J256,1)</f>
        <v>344.5</v>
      </c>
      <c r="H256" s="217">
        <f>PRODUCT(D256,G256)</f>
        <v>1722.5</v>
      </c>
      <c r="I256" s="216">
        <f>4855/1.21</f>
        <v>4012.3966942148763</v>
      </c>
      <c r="J256" s="215">
        <v>65</v>
      </c>
      <c r="P256" s="221">
        <v>6</v>
      </c>
    </row>
    <row r="257" spans="1:16" ht="16.5">
      <c r="A257" s="205">
        <f>(SUM(A256,1))</f>
        <v>203</v>
      </c>
      <c r="B257" s="241" t="s">
        <v>2324</v>
      </c>
      <c r="C257" s="219" t="s">
        <v>450</v>
      </c>
      <c r="D257" s="214">
        <v>9</v>
      </c>
      <c r="E257" s="218">
        <f>ROUND($I$246*I257,1)</f>
        <v>2160</v>
      </c>
      <c r="F257" s="217">
        <f>PRODUCT(D257,E257)</f>
        <v>19440</v>
      </c>
      <c r="G257" s="218">
        <f>ROUND($J$1*J257,1)</f>
        <v>344.5</v>
      </c>
      <c r="H257" s="217">
        <f>PRODUCT(D257,G257)</f>
        <v>3100.5</v>
      </c>
      <c r="I257" s="216">
        <v>1800</v>
      </c>
      <c r="J257" s="215">
        <v>65</v>
      </c>
      <c r="P257" s="214">
        <v>20</v>
      </c>
    </row>
    <row r="258" spans="1:16">
      <c r="A258" s="205">
        <f>(SUM(A257,1))</f>
        <v>204</v>
      </c>
      <c r="B258" s="241" t="s">
        <v>2323</v>
      </c>
      <c r="C258" s="219" t="s">
        <v>450</v>
      </c>
      <c r="D258" s="214">
        <v>6</v>
      </c>
      <c r="E258" s="218">
        <f>ROUND($I$246*I258,1)</f>
        <v>720</v>
      </c>
      <c r="F258" s="217">
        <f>PRODUCT(D258,E258)</f>
        <v>4320</v>
      </c>
      <c r="G258" s="218">
        <f>ROUND($J$1*J258,1)</f>
        <v>344.5</v>
      </c>
      <c r="H258" s="217">
        <f>PRODUCT(D258,G258)</f>
        <v>2067</v>
      </c>
      <c r="I258" s="216">
        <v>600</v>
      </c>
      <c r="J258" s="215">
        <v>65</v>
      </c>
      <c r="P258" s="214">
        <v>18</v>
      </c>
    </row>
    <row r="259" spans="1:16" ht="16.5">
      <c r="A259" s="205">
        <f>(SUM(A258,1))</f>
        <v>205</v>
      </c>
      <c r="B259" s="241" t="s">
        <v>2322</v>
      </c>
      <c r="C259" s="219" t="s">
        <v>450</v>
      </c>
      <c r="D259" s="214">
        <v>8</v>
      </c>
      <c r="E259" s="218">
        <f>ROUND($I$246*I259,1)</f>
        <v>2760</v>
      </c>
      <c r="F259" s="217">
        <f>PRODUCT(D259,E259)</f>
        <v>22080</v>
      </c>
      <c r="G259" s="218">
        <f>ROUND($J$1*J259,1)</f>
        <v>503.5</v>
      </c>
      <c r="H259" s="217">
        <f>PRODUCT(D259,G259)</f>
        <v>4028</v>
      </c>
      <c r="I259" s="216">
        <v>2300</v>
      </c>
      <c r="J259" s="215">
        <v>95</v>
      </c>
      <c r="P259" s="214">
        <v>30</v>
      </c>
    </row>
    <row r="260" spans="1:16" ht="16.5">
      <c r="A260" s="205">
        <f>(SUM(A259,1))</f>
        <v>206</v>
      </c>
      <c r="B260" s="241" t="s">
        <v>2321</v>
      </c>
      <c r="C260" s="219" t="s">
        <v>450</v>
      </c>
      <c r="D260" s="214">
        <v>40</v>
      </c>
      <c r="E260" s="218">
        <f>ROUND($I$246*I260,1)</f>
        <v>840</v>
      </c>
      <c r="F260" s="217">
        <f>PRODUCT(D260,E260)</f>
        <v>33600</v>
      </c>
      <c r="G260" s="218">
        <f>ROUND($J$1*J260,1)</f>
        <v>344.5</v>
      </c>
      <c r="H260" s="217">
        <f>PRODUCT(D260,G260)</f>
        <v>13780</v>
      </c>
      <c r="I260" s="216">
        <v>700</v>
      </c>
      <c r="J260" s="215">
        <v>65</v>
      </c>
      <c r="P260" s="214">
        <v>81</v>
      </c>
    </row>
    <row r="261" spans="1:16" ht="16.5">
      <c r="A261" s="205">
        <f>(SUM(A260,1))</f>
        <v>207</v>
      </c>
      <c r="B261" s="243" t="s">
        <v>2320</v>
      </c>
      <c r="C261" s="219" t="s">
        <v>450</v>
      </c>
      <c r="D261" s="214">
        <v>4</v>
      </c>
      <c r="E261" s="218">
        <f>ROUND($I$246*I261,1)</f>
        <v>1716</v>
      </c>
      <c r="F261" s="217">
        <f>PRODUCT(D261,E261)</f>
        <v>6864</v>
      </c>
      <c r="G261" s="218">
        <f>ROUND($J$1*J261,1)</f>
        <v>344.5</v>
      </c>
      <c r="H261" s="217">
        <f>PRODUCT(D261,G261)</f>
        <v>1378</v>
      </c>
      <c r="I261" s="216">
        <v>1430</v>
      </c>
      <c r="J261" s="215">
        <v>65</v>
      </c>
      <c r="P261" s="214">
        <v>8</v>
      </c>
    </row>
    <row r="262" spans="1:16" ht="16.5">
      <c r="A262" s="205">
        <f>(SUM(A261,1))</f>
        <v>208</v>
      </c>
      <c r="B262" s="243" t="s">
        <v>2319</v>
      </c>
      <c r="C262" s="219" t="s">
        <v>450</v>
      </c>
      <c r="D262" s="214">
        <v>18</v>
      </c>
      <c r="E262" s="218">
        <f>ROUND($I$246*I262,1)</f>
        <v>2280</v>
      </c>
      <c r="F262" s="217">
        <f>PRODUCT(D262,E262)</f>
        <v>41040</v>
      </c>
      <c r="G262" s="218">
        <f>ROUND($J$1*J262,1)</f>
        <v>344.5</v>
      </c>
      <c r="H262" s="217">
        <f>PRODUCT(D262,G262)</f>
        <v>6201</v>
      </c>
      <c r="I262" s="216">
        <v>1900</v>
      </c>
      <c r="J262" s="215">
        <v>65</v>
      </c>
      <c r="P262" s="214">
        <v>34</v>
      </c>
    </row>
    <row r="263" spans="1:16" ht="16.5">
      <c r="A263" s="205">
        <f>(SUM(A262,1))</f>
        <v>209</v>
      </c>
      <c r="B263" s="243" t="s">
        <v>2318</v>
      </c>
      <c r="C263" s="219" t="s">
        <v>450</v>
      </c>
      <c r="D263" s="214">
        <v>2</v>
      </c>
      <c r="E263" s="218">
        <f>ROUND($I$246*I263,1)</f>
        <v>2280</v>
      </c>
      <c r="F263" s="217">
        <f>PRODUCT(D263,E263)</f>
        <v>4560</v>
      </c>
      <c r="G263" s="218">
        <f>ROUND($J$1*J263,1)</f>
        <v>344.5</v>
      </c>
      <c r="H263" s="217">
        <f>PRODUCT(D263,G263)</f>
        <v>689</v>
      </c>
      <c r="I263" s="216">
        <v>1900</v>
      </c>
      <c r="J263" s="215">
        <v>65</v>
      </c>
      <c r="P263" s="214">
        <v>5</v>
      </c>
    </row>
    <row r="264" spans="1:16" ht="16.5">
      <c r="A264" s="205">
        <f>(SUM(A263,1))</f>
        <v>210</v>
      </c>
      <c r="B264" s="242" t="s">
        <v>2317</v>
      </c>
      <c r="C264" s="222" t="s">
        <v>450</v>
      </c>
      <c r="D264" s="221">
        <v>12</v>
      </c>
      <c r="E264" s="218">
        <f>ROUND($I$246*I264,1)</f>
        <v>12000</v>
      </c>
      <c r="F264" s="217">
        <f>PRODUCT(D264,E264)</f>
        <v>144000</v>
      </c>
      <c r="G264" s="218">
        <f>ROUND($J$1*J264,1)</f>
        <v>344.5</v>
      </c>
      <c r="H264" s="217">
        <f>PRODUCT(D264,G264)</f>
        <v>4134</v>
      </c>
      <c r="I264" s="216">
        <f>12100/1.21</f>
        <v>10000</v>
      </c>
      <c r="J264" s="215">
        <v>65</v>
      </c>
      <c r="P264" s="221">
        <v>18</v>
      </c>
    </row>
    <row r="265" spans="1:16" ht="16.5">
      <c r="A265" s="205">
        <f>(SUM(A264,1))</f>
        <v>211</v>
      </c>
      <c r="B265" s="241" t="s">
        <v>2316</v>
      </c>
      <c r="C265" s="219" t="s">
        <v>429</v>
      </c>
      <c r="D265" s="214">
        <v>14</v>
      </c>
      <c r="E265" s="218">
        <f>ROUND($I$246*I265,1)</f>
        <v>3480</v>
      </c>
      <c r="F265" s="217">
        <f>PRODUCT(D265,E265)</f>
        <v>48720</v>
      </c>
      <c r="G265" s="218">
        <f>ROUND($J$1*J265,1)</f>
        <v>1325</v>
      </c>
      <c r="H265" s="217">
        <f>PRODUCT(D265,G265)</f>
        <v>18550</v>
      </c>
      <c r="I265" s="215">
        <v>2900</v>
      </c>
      <c r="J265" s="215">
        <v>250</v>
      </c>
      <c r="P265" s="214">
        <v>24</v>
      </c>
    </row>
    <row r="266" spans="1:16">
      <c r="A266" s="205">
        <f>(SUM(A265,1))</f>
        <v>212</v>
      </c>
      <c r="B266" s="241" t="s">
        <v>2315</v>
      </c>
      <c r="C266" s="219" t="s">
        <v>450</v>
      </c>
      <c r="D266" s="214">
        <v>30</v>
      </c>
      <c r="E266" s="218">
        <f>ROUND($I$246*I266,1)</f>
        <v>2280</v>
      </c>
      <c r="F266" s="217">
        <f>PRODUCT(D266,E266)</f>
        <v>68400</v>
      </c>
      <c r="G266" s="218">
        <f>ROUND($J$1*J266,1)</f>
        <v>238.5</v>
      </c>
      <c r="H266" s="217">
        <f>PRODUCT(D266,G266)</f>
        <v>7155</v>
      </c>
      <c r="I266" s="216">
        <v>1900</v>
      </c>
      <c r="J266" s="215">
        <v>45</v>
      </c>
      <c r="P266" s="214">
        <v>45</v>
      </c>
    </row>
    <row r="267" spans="1:16">
      <c r="A267" s="205">
        <f>(SUM(A266,1))</f>
        <v>213</v>
      </c>
      <c r="B267" s="241" t="s">
        <v>2314</v>
      </c>
      <c r="C267" s="219" t="s">
        <v>450</v>
      </c>
      <c r="D267" s="214">
        <v>34</v>
      </c>
      <c r="E267" s="218">
        <f>ROUND($I$246*I267,1)</f>
        <v>3120</v>
      </c>
      <c r="F267" s="217">
        <f>PRODUCT(D267,E267)</f>
        <v>106080</v>
      </c>
      <c r="G267" s="218">
        <f>ROUND($J$1*J267,1)</f>
        <v>238.5</v>
      </c>
      <c r="H267" s="217">
        <f>PRODUCT(D267,G267)</f>
        <v>8109</v>
      </c>
      <c r="I267" s="216">
        <v>2600</v>
      </c>
      <c r="J267" s="215">
        <v>45</v>
      </c>
      <c r="P267" s="214">
        <v>45</v>
      </c>
    </row>
    <row r="268" spans="1:16">
      <c r="A268" s="201">
        <f>(SUM(A267,1))</f>
        <v>214</v>
      </c>
      <c r="B268" s="198"/>
      <c r="C268" s="200"/>
      <c r="D268" s="200"/>
      <c r="E268" s="200"/>
      <c r="F268" s="199">
        <f>SUM(F248:F267)</f>
        <v>1033370.5</v>
      </c>
      <c r="G268" s="198"/>
      <c r="H268" s="199">
        <f>SUM(H248:H267)</f>
        <v>107086.5</v>
      </c>
    </row>
    <row r="269" spans="1:16">
      <c r="A269" s="196">
        <f>(SUM(A268,1))</f>
        <v>215</v>
      </c>
      <c r="B269" s="195" t="s">
        <v>2176</v>
      </c>
      <c r="C269" s="192"/>
      <c r="D269" s="194">
        <v>3</v>
      </c>
      <c r="E269" s="192" t="s">
        <v>565</v>
      </c>
      <c r="F269" s="213">
        <f>ROUND(F268*D269*0.01,1)</f>
        <v>31001.1</v>
      </c>
      <c r="G269" s="192"/>
      <c r="H269" s="191"/>
    </row>
    <row r="270" spans="1:16">
      <c r="A270" s="196">
        <f>(SUM(A269,1))</f>
        <v>216</v>
      </c>
      <c r="B270" s="195" t="s">
        <v>2313</v>
      </c>
      <c r="C270" s="192"/>
      <c r="D270" s="194">
        <v>6</v>
      </c>
      <c r="E270" s="192" t="s">
        <v>565</v>
      </c>
      <c r="F270" s="193"/>
      <c r="G270" s="192"/>
      <c r="H270" s="213">
        <f>ROUND(H268*D270*0.01,1)</f>
        <v>6425.2</v>
      </c>
    </row>
    <row r="271" spans="1:16">
      <c r="A271" s="190">
        <f>(SUM(A270,1))</f>
        <v>217</v>
      </c>
      <c r="B271" s="189" t="s">
        <v>2168</v>
      </c>
      <c r="C271" s="188"/>
      <c r="D271" s="188"/>
      <c r="E271" s="188"/>
      <c r="F271" s="187">
        <f>SUM(F268:F270)</f>
        <v>1064371.6000000001</v>
      </c>
      <c r="G271" s="212"/>
      <c r="H271" s="187">
        <f>SUM(H268:H270)</f>
        <v>113511.7</v>
      </c>
    </row>
    <row r="274" spans="1:16">
      <c r="B274" s="229"/>
      <c r="C274" s="192"/>
      <c r="D274" s="192"/>
      <c r="E274" s="192"/>
      <c r="F274" s="228"/>
      <c r="G274" s="192"/>
      <c r="H274" s="228"/>
    </row>
    <row r="275" spans="1:16">
      <c r="A275" s="211"/>
      <c r="B275" s="227" t="s">
        <v>2312</v>
      </c>
      <c r="C275" s="210"/>
      <c r="D275" s="210"/>
      <c r="E275" s="299" t="s">
        <v>2173</v>
      </c>
      <c r="F275" s="299"/>
      <c r="G275" s="299" t="s">
        <v>2172</v>
      </c>
      <c r="H275" s="299"/>
      <c r="I275" s="225"/>
      <c r="J275" s="225"/>
    </row>
    <row r="276" spans="1:16">
      <c r="A276" s="209" t="s">
        <v>2171</v>
      </c>
      <c r="B276" s="226" t="s">
        <v>2170</v>
      </c>
      <c r="C276" s="207" t="s">
        <v>2185</v>
      </c>
      <c r="D276" s="206" t="s">
        <v>2184</v>
      </c>
      <c r="E276" s="207" t="s">
        <v>2183</v>
      </c>
      <c r="F276" s="206" t="s">
        <v>2169</v>
      </c>
      <c r="G276" s="207" t="s">
        <v>2183</v>
      </c>
      <c r="H276" s="206" t="s">
        <v>2169</v>
      </c>
      <c r="I276" s="178" t="s">
        <v>2173</v>
      </c>
      <c r="J276" s="178" t="s">
        <v>2172</v>
      </c>
    </row>
    <row r="277" spans="1:16">
      <c r="A277" s="205">
        <f>(SUM(A271,1))</f>
        <v>218</v>
      </c>
      <c r="B277" s="224" t="s">
        <v>2311</v>
      </c>
      <c r="C277" s="219" t="s">
        <v>193</v>
      </c>
      <c r="D277" s="214">
        <v>180</v>
      </c>
      <c r="E277" s="218">
        <f>ROUND($I$1*I277,1)</f>
        <v>147</v>
      </c>
      <c r="F277" s="217">
        <f>PRODUCT(D277,E277)</f>
        <v>26460</v>
      </c>
      <c r="G277" s="218">
        <f>ROUND($J$1*J277,1)</f>
        <v>27.6</v>
      </c>
      <c r="H277" s="217">
        <f>PRODUCT(D277,G277)</f>
        <v>4968</v>
      </c>
      <c r="I277" s="216">
        <v>70</v>
      </c>
      <c r="J277" s="215">
        <v>5.2</v>
      </c>
      <c r="K277" s="215"/>
      <c r="P277" s="214">
        <v>450</v>
      </c>
    </row>
    <row r="278" spans="1:16">
      <c r="A278" s="205">
        <f>(SUM(A277,1))</f>
        <v>219</v>
      </c>
      <c r="B278" s="230" t="s">
        <v>2310</v>
      </c>
      <c r="C278" s="219" t="s">
        <v>193</v>
      </c>
      <c r="D278" s="214">
        <v>100</v>
      </c>
      <c r="E278" s="218">
        <f>ROUND($I$1*I278,1)</f>
        <v>48.3</v>
      </c>
      <c r="F278" s="217">
        <f>PRODUCT(D278,E278)</f>
        <v>4830</v>
      </c>
      <c r="G278" s="218">
        <f>ROUND($J$1*J278,1)</f>
        <v>15.4</v>
      </c>
      <c r="H278" s="217">
        <f>PRODUCT(D278,G278)</f>
        <v>1540</v>
      </c>
      <c r="I278" s="216">
        <v>23</v>
      </c>
      <c r="J278" s="215">
        <v>2.9</v>
      </c>
      <c r="K278" s="215"/>
      <c r="P278" s="214">
        <v>150</v>
      </c>
    </row>
    <row r="279" spans="1:16">
      <c r="A279" s="205">
        <f>(SUM(A278,1))</f>
        <v>220</v>
      </c>
      <c r="B279" s="230" t="s">
        <v>2309</v>
      </c>
      <c r="C279" s="219" t="s">
        <v>193</v>
      </c>
      <c r="D279" s="214">
        <v>300</v>
      </c>
      <c r="E279" s="218">
        <f>ROUND($I$1*I279,1)</f>
        <v>31.1</v>
      </c>
      <c r="F279" s="217">
        <f>PRODUCT(D279,E279)</f>
        <v>9330</v>
      </c>
      <c r="G279" s="218">
        <f>ROUND($J$1*J279,1)</f>
        <v>57.2</v>
      </c>
      <c r="H279" s="217">
        <f>PRODUCT(D279,G279)</f>
        <v>17160</v>
      </c>
      <c r="I279" s="216">
        <v>14.8</v>
      </c>
      <c r="J279" s="215">
        <v>10.8</v>
      </c>
      <c r="K279" s="215"/>
      <c r="P279" s="214">
        <v>500</v>
      </c>
    </row>
    <row r="280" spans="1:16">
      <c r="A280" s="205">
        <f>(SUM(A279,1))</f>
        <v>221</v>
      </c>
      <c r="B280" s="223" t="s">
        <v>2308</v>
      </c>
      <c r="C280" s="222" t="s">
        <v>193</v>
      </c>
      <c r="D280" s="221">
        <v>50</v>
      </c>
      <c r="E280" s="218">
        <f>ROUND($I$1*I280,1)</f>
        <v>176.6</v>
      </c>
      <c r="F280" s="217">
        <f>PRODUCT(D280,E280)</f>
        <v>8830</v>
      </c>
      <c r="G280" s="218">
        <f>ROUND($J$1*J280,1)</f>
        <v>27.6</v>
      </c>
      <c r="H280" s="217">
        <f>PRODUCT(D280,G280)</f>
        <v>1380</v>
      </c>
      <c r="I280" s="215">
        <v>84.08</v>
      </c>
      <c r="J280" s="215">
        <v>5.2</v>
      </c>
      <c r="P280" s="221">
        <v>100</v>
      </c>
    </row>
    <row r="281" spans="1:16">
      <c r="A281" s="205">
        <f>(SUM(A280,1))</f>
        <v>222</v>
      </c>
      <c r="B281" s="224" t="s">
        <v>2307</v>
      </c>
      <c r="C281" s="219" t="s">
        <v>450</v>
      </c>
      <c r="D281" s="214">
        <v>240</v>
      </c>
      <c r="E281" s="218">
        <f>ROUND($I$1*I281,1)</f>
        <v>20.6</v>
      </c>
      <c r="F281" s="217">
        <f>PRODUCT(D281,E281)</f>
        <v>4944</v>
      </c>
      <c r="G281" s="218">
        <f>ROUND($J$1*J281,1)</f>
        <v>57.2</v>
      </c>
      <c r="H281" s="217">
        <f>PRODUCT(D281,G281)</f>
        <v>13728</v>
      </c>
      <c r="I281" s="216">
        <v>9.8000000000000007</v>
      </c>
      <c r="J281" s="215">
        <v>10.8</v>
      </c>
      <c r="K281" s="215"/>
      <c r="P281" s="214">
        <v>400</v>
      </c>
    </row>
    <row r="282" spans="1:16">
      <c r="A282" s="205">
        <f>(SUM(A281,1))</f>
        <v>223</v>
      </c>
      <c r="B282" s="224" t="s">
        <v>2306</v>
      </c>
      <c r="C282" s="219" t="s">
        <v>450</v>
      </c>
      <c r="D282" s="214">
        <v>13</v>
      </c>
      <c r="E282" s="218">
        <f>ROUND($I$1*I282,1)</f>
        <v>87.8</v>
      </c>
      <c r="F282" s="217">
        <f>PRODUCT(D282,E282)</f>
        <v>1141.3999999999999</v>
      </c>
      <c r="G282" s="218">
        <f>ROUND($J$1*J282,1)</f>
        <v>57.2</v>
      </c>
      <c r="H282" s="217">
        <f>PRODUCT(D282,G282)</f>
        <v>743.6</v>
      </c>
      <c r="I282" s="216">
        <v>41.8</v>
      </c>
      <c r="J282" s="215">
        <v>10.8</v>
      </c>
      <c r="K282" s="215"/>
      <c r="P282" s="214">
        <v>25</v>
      </c>
    </row>
    <row r="283" spans="1:16">
      <c r="A283" s="205">
        <f>(SUM(A282,1))</f>
        <v>224</v>
      </c>
      <c r="B283" s="224" t="s">
        <v>2305</v>
      </c>
      <c r="C283" s="219" t="s">
        <v>450</v>
      </c>
      <c r="D283" s="214">
        <v>25</v>
      </c>
      <c r="E283" s="218">
        <f>ROUND($I$1*I283,1)</f>
        <v>54.2</v>
      </c>
      <c r="F283" s="217">
        <f>PRODUCT(D283,E283)</f>
        <v>1355</v>
      </c>
      <c r="G283" s="218">
        <f>ROUND($J$1*J283,1)</f>
        <v>82.7</v>
      </c>
      <c r="H283" s="217">
        <f>PRODUCT(D283,G283)</f>
        <v>2067.5</v>
      </c>
      <c r="I283" s="216">
        <v>25.8</v>
      </c>
      <c r="J283" s="215">
        <v>15.6</v>
      </c>
      <c r="K283" s="215"/>
      <c r="P283" s="214">
        <v>50</v>
      </c>
    </row>
    <row r="284" spans="1:16">
      <c r="A284" s="205">
        <f>(SUM(A283,1))</f>
        <v>225</v>
      </c>
      <c r="B284" s="224" t="s">
        <v>2304</v>
      </c>
      <c r="C284" s="219" t="s">
        <v>450</v>
      </c>
      <c r="D284" s="214">
        <v>18</v>
      </c>
      <c r="E284" s="218">
        <f>ROUND($I$1*I284,1)</f>
        <v>63.6</v>
      </c>
      <c r="F284" s="217">
        <f>PRODUCT(D284,E284)</f>
        <v>1144.8</v>
      </c>
      <c r="G284" s="218">
        <f>ROUND($J$1*J284,1)</f>
        <v>57.2</v>
      </c>
      <c r="H284" s="217">
        <f>PRODUCT(D284,G284)</f>
        <v>1029.6000000000001</v>
      </c>
      <c r="I284" s="216">
        <v>30.29</v>
      </c>
      <c r="J284" s="215">
        <v>10.8</v>
      </c>
      <c r="K284" s="215"/>
      <c r="P284" s="214">
        <v>40</v>
      </c>
    </row>
    <row r="285" spans="1:16">
      <c r="A285" s="205">
        <f>(SUM(A284,1))</f>
        <v>226</v>
      </c>
      <c r="B285" s="224" t="s">
        <v>2303</v>
      </c>
      <c r="C285" s="219" t="s">
        <v>450</v>
      </c>
      <c r="D285" s="214">
        <v>9</v>
      </c>
      <c r="E285" s="218">
        <f>ROUND($I$1*I285,1)</f>
        <v>54.2</v>
      </c>
      <c r="F285" s="217">
        <f>PRODUCT(D285,E285)</f>
        <v>487.8</v>
      </c>
      <c r="G285" s="218">
        <f>ROUND($J$1*J285,1)</f>
        <v>82.7</v>
      </c>
      <c r="H285" s="217">
        <f>PRODUCT(D285,G285)</f>
        <v>744.30000000000007</v>
      </c>
      <c r="I285" s="216">
        <v>25.8</v>
      </c>
      <c r="J285" s="215">
        <v>15.6</v>
      </c>
      <c r="K285" s="215"/>
      <c r="P285" s="214">
        <v>18</v>
      </c>
    </row>
    <row r="286" spans="1:16">
      <c r="A286" s="205">
        <f>(SUM(A285,1))</f>
        <v>227</v>
      </c>
      <c r="B286" s="224" t="s">
        <v>2302</v>
      </c>
      <c r="C286" s="219" t="s">
        <v>450</v>
      </c>
      <c r="D286" s="214">
        <v>36</v>
      </c>
      <c r="E286" s="218">
        <f>ROUND($I$1*I286,1)</f>
        <v>94.5</v>
      </c>
      <c r="F286" s="217">
        <f>PRODUCT(D286,E286)</f>
        <v>3402</v>
      </c>
      <c r="G286" s="218">
        <f>ROUND($J$1*J286,1)</f>
        <v>57.2</v>
      </c>
      <c r="H286" s="217">
        <f>PRODUCT(D286,G286)</f>
        <v>2059.2000000000003</v>
      </c>
      <c r="I286" s="216">
        <v>45</v>
      </c>
      <c r="J286" s="215">
        <v>10.8</v>
      </c>
      <c r="K286" s="215"/>
      <c r="P286" s="214">
        <v>60</v>
      </c>
    </row>
    <row r="287" spans="1:16">
      <c r="A287" s="205">
        <f>(SUM(A286,1))</f>
        <v>228</v>
      </c>
      <c r="B287" s="224" t="s">
        <v>2301</v>
      </c>
      <c r="C287" s="219" t="s">
        <v>450</v>
      </c>
      <c r="D287" s="214">
        <v>180</v>
      </c>
      <c r="E287" s="218">
        <f>ROUND($I$1*I287,1)</f>
        <v>31.5</v>
      </c>
      <c r="F287" s="217">
        <f>PRODUCT(D287,E287)</f>
        <v>5670</v>
      </c>
      <c r="G287" s="218">
        <f>ROUND($J$1*J287,1)</f>
        <v>82.7</v>
      </c>
      <c r="H287" s="217">
        <f>PRODUCT(D287,G287)</f>
        <v>14886</v>
      </c>
      <c r="I287" s="216">
        <v>15</v>
      </c>
      <c r="J287" s="215">
        <v>15.6</v>
      </c>
      <c r="K287" s="215"/>
      <c r="P287" s="214">
        <v>300</v>
      </c>
    </row>
    <row r="288" spans="1:16">
      <c r="A288" s="205">
        <f>(SUM(A287,1))</f>
        <v>229</v>
      </c>
      <c r="B288" s="224" t="s">
        <v>2300</v>
      </c>
      <c r="C288" s="219" t="s">
        <v>450</v>
      </c>
      <c r="D288" s="214">
        <v>50</v>
      </c>
      <c r="E288" s="218">
        <f>ROUND($I$1*I288,1)</f>
        <v>56.7</v>
      </c>
      <c r="F288" s="217">
        <f>PRODUCT(D288,E288)</f>
        <v>2835</v>
      </c>
      <c r="G288" s="218">
        <f>ROUND($J$1*J288,1)</f>
        <v>82.7</v>
      </c>
      <c r="H288" s="217">
        <f>PRODUCT(D288,G288)</f>
        <v>4135</v>
      </c>
      <c r="I288" s="216">
        <v>27</v>
      </c>
      <c r="J288" s="215">
        <v>15.6</v>
      </c>
      <c r="K288" s="215"/>
      <c r="P288" s="214">
        <v>80</v>
      </c>
    </row>
    <row r="289" spans="1:16">
      <c r="A289" s="205">
        <f>(SUM(A288,1))</f>
        <v>230</v>
      </c>
      <c r="B289" s="224" t="s">
        <v>2299</v>
      </c>
      <c r="C289" s="219" t="s">
        <v>450</v>
      </c>
      <c r="D289" s="214">
        <v>80</v>
      </c>
      <c r="E289" s="218">
        <f>ROUND($I$1*I289,1)</f>
        <v>58.8</v>
      </c>
      <c r="F289" s="217">
        <f>PRODUCT(D289,E289)</f>
        <v>4704</v>
      </c>
      <c r="G289" s="218">
        <f>ROUND($J$1*J289,1)</f>
        <v>57.2</v>
      </c>
      <c r="H289" s="217">
        <f>PRODUCT(D289,G289)</f>
        <v>4576</v>
      </c>
      <c r="I289" s="216">
        <v>28</v>
      </c>
      <c r="J289" s="215">
        <v>10.8</v>
      </c>
      <c r="K289" s="215"/>
      <c r="P289" s="214">
        <v>150</v>
      </c>
    </row>
    <row r="290" spans="1:16">
      <c r="A290" s="205">
        <f>(SUM(A289,1))</f>
        <v>231</v>
      </c>
      <c r="B290" s="224" t="s">
        <v>2298</v>
      </c>
      <c r="C290" s="219" t="s">
        <v>450</v>
      </c>
      <c r="D290" s="214">
        <v>8</v>
      </c>
      <c r="E290" s="218">
        <f>ROUND($I$1*I290,1)</f>
        <v>21</v>
      </c>
      <c r="F290" s="217">
        <f>PRODUCT(D290,E290)</f>
        <v>168</v>
      </c>
      <c r="G290" s="218">
        <f>ROUND($J$1*J290,1)</f>
        <v>116.6</v>
      </c>
      <c r="H290" s="217">
        <f>PRODUCT(D290,G290)</f>
        <v>932.8</v>
      </c>
      <c r="I290" s="216">
        <v>10</v>
      </c>
      <c r="J290" s="215">
        <v>22</v>
      </c>
      <c r="K290" s="215"/>
      <c r="P290" s="214">
        <v>14</v>
      </c>
    </row>
    <row r="291" spans="1:16">
      <c r="A291" s="205">
        <f>(SUM(A290,1))</f>
        <v>232</v>
      </c>
      <c r="B291" s="224" t="s">
        <v>2297</v>
      </c>
      <c r="C291" s="219" t="s">
        <v>450</v>
      </c>
      <c r="D291" s="214">
        <v>2</v>
      </c>
      <c r="E291" s="218">
        <f>ROUND($I$1*I291,1)</f>
        <v>1365</v>
      </c>
      <c r="F291" s="217">
        <f>PRODUCT(D291,E291)</f>
        <v>2730</v>
      </c>
      <c r="G291" s="218">
        <f>ROUND($J$1*J291,1)</f>
        <v>265</v>
      </c>
      <c r="H291" s="217">
        <f>PRODUCT(D291,G291)</f>
        <v>530</v>
      </c>
      <c r="I291" s="216">
        <v>650</v>
      </c>
      <c r="J291" s="215">
        <v>50</v>
      </c>
      <c r="P291" s="214">
        <v>4</v>
      </c>
    </row>
    <row r="292" spans="1:16">
      <c r="A292" s="205">
        <f>(SUM(A291,1))</f>
        <v>233</v>
      </c>
      <c r="B292" s="224" t="s">
        <v>2296</v>
      </c>
      <c r="C292" s="219" t="s">
        <v>450</v>
      </c>
      <c r="D292" s="214">
        <v>4</v>
      </c>
      <c r="E292" s="218">
        <f>ROUND($I$1*I292,1)</f>
        <v>79.8</v>
      </c>
      <c r="F292" s="217">
        <f>PRODUCT(D292,E292)</f>
        <v>319.2</v>
      </c>
      <c r="G292" s="218">
        <f>ROUND($J$1*J292,1)</f>
        <v>57.2</v>
      </c>
      <c r="H292" s="217">
        <f>PRODUCT(D292,G292)</f>
        <v>228.8</v>
      </c>
      <c r="I292" s="216">
        <v>38</v>
      </c>
      <c r="J292" s="215">
        <v>10.8</v>
      </c>
      <c r="P292" s="214">
        <v>8</v>
      </c>
    </row>
    <row r="293" spans="1:16">
      <c r="A293" s="205">
        <f>(SUM(A292,1))</f>
        <v>234</v>
      </c>
      <c r="B293" s="220" t="s">
        <v>2295</v>
      </c>
      <c r="C293" s="219" t="s">
        <v>450</v>
      </c>
      <c r="D293" s="214">
        <v>5</v>
      </c>
      <c r="E293" s="218">
        <f>ROUND($I$1*I293,1)</f>
        <v>315</v>
      </c>
      <c r="F293" s="217">
        <f>PRODUCT(D293,E293)</f>
        <v>1575</v>
      </c>
      <c r="G293" s="218">
        <f>ROUND($J$1*J293,1)</f>
        <v>111.3</v>
      </c>
      <c r="H293" s="217">
        <f>PRODUCT(D293,G293)</f>
        <v>556.5</v>
      </c>
      <c r="I293" s="215">
        <v>150</v>
      </c>
      <c r="J293" s="215">
        <v>21</v>
      </c>
      <c r="K293" s="215"/>
      <c r="P293" s="214">
        <v>10</v>
      </c>
    </row>
    <row r="294" spans="1:16">
      <c r="A294" s="205">
        <f>(SUM(A293,1))</f>
        <v>235</v>
      </c>
      <c r="B294" s="224" t="s">
        <v>2294</v>
      </c>
      <c r="C294" s="219" t="s">
        <v>450</v>
      </c>
      <c r="D294" s="214">
        <v>13</v>
      </c>
      <c r="E294" s="218">
        <f>ROUND($I$1*I294,1)</f>
        <v>363.1</v>
      </c>
      <c r="F294" s="217">
        <f>PRODUCT(D294,E294)</f>
        <v>4720.3</v>
      </c>
      <c r="G294" s="218">
        <f>ROUND($J$1*J294,1)</f>
        <v>57.2</v>
      </c>
      <c r="H294" s="217">
        <f>PRODUCT(D294,G294)</f>
        <v>743.6</v>
      </c>
      <c r="I294" s="216">
        <v>172.9</v>
      </c>
      <c r="J294" s="215">
        <v>10.8</v>
      </c>
      <c r="K294" s="215"/>
      <c r="P294" s="214">
        <v>25</v>
      </c>
    </row>
    <row r="295" spans="1:16">
      <c r="A295" s="205">
        <f>(SUM(A294,1))</f>
        <v>236</v>
      </c>
      <c r="B295" s="224" t="s">
        <v>2293</v>
      </c>
      <c r="C295" s="219" t="s">
        <v>450</v>
      </c>
      <c r="D295" s="214">
        <v>26</v>
      </c>
      <c r="E295" s="218">
        <f>ROUND($I$1*I295,1)</f>
        <v>60.9</v>
      </c>
      <c r="F295" s="217">
        <f>PRODUCT(D295,E295)</f>
        <v>1583.3999999999999</v>
      </c>
      <c r="G295" s="218">
        <f>ROUND($J$1*J295,1)</f>
        <v>82.7</v>
      </c>
      <c r="H295" s="217">
        <f>PRODUCT(D295,G295)</f>
        <v>2150.2000000000003</v>
      </c>
      <c r="I295" s="216">
        <v>29</v>
      </c>
      <c r="J295" s="215">
        <v>15.6</v>
      </c>
      <c r="K295" s="215"/>
      <c r="P295" s="214">
        <v>50</v>
      </c>
    </row>
    <row r="296" spans="1:16">
      <c r="A296" s="205">
        <f>(SUM(A295,1))</f>
        <v>237</v>
      </c>
      <c r="B296" s="224" t="s">
        <v>2292</v>
      </c>
      <c r="C296" s="219" t="s">
        <v>450</v>
      </c>
      <c r="D296" s="214">
        <v>46</v>
      </c>
      <c r="E296" s="218">
        <f>ROUND($I$1*I296,1)</f>
        <v>77.099999999999994</v>
      </c>
      <c r="F296" s="217">
        <f>PRODUCT(D296,E296)</f>
        <v>3546.6</v>
      </c>
      <c r="G296" s="218">
        <f>ROUND($J$1*J296,1)</f>
        <v>78.400000000000006</v>
      </c>
      <c r="H296" s="217">
        <f>PRODUCT(D296,G296)</f>
        <v>3606.4</v>
      </c>
      <c r="I296" s="216">
        <v>36.700000000000003</v>
      </c>
      <c r="J296" s="215">
        <v>14.8</v>
      </c>
      <c r="K296" s="215"/>
      <c r="P296" s="214">
        <v>70</v>
      </c>
    </row>
    <row r="297" spans="1:16">
      <c r="A297" s="205">
        <f>(SUM(A296,1))</f>
        <v>238</v>
      </c>
      <c r="B297" s="224" t="s">
        <v>2291</v>
      </c>
      <c r="C297" s="219" t="s">
        <v>450</v>
      </c>
      <c r="D297" s="214">
        <v>20</v>
      </c>
      <c r="E297" s="218">
        <f>ROUND($I$1*I297,1)</f>
        <v>42.8</v>
      </c>
      <c r="F297" s="217">
        <f>PRODUCT(D297,E297)</f>
        <v>856</v>
      </c>
      <c r="G297" s="218">
        <f>ROUND($J$1*J297,1)</f>
        <v>78.400000000000006</v>
      </c>
      <c r="H297" s="217">
        <f>PRODUCT(D297,G297)</f>
        <v>1568</v>
      </c>
      <c r="I297" s="216">
        <v>20.399999999999999</v>
      </c>
      <c r="J297" s="215">
        <v>14.8</v>
      </c>
      <c r="K297" s="215"/>
      <c r="P297" s="214">
        <v>40</v>
      </c>
    </row>
    <row r="298" spans="1:16">
      <c r="A298" s="201">
        <f>(SUM(A297,1))</f>
        <v>239</v>
      </c>
      <c r="B298" s="198"/>
      <c r="C298" s="200"/>
      <c r="D298" s="200"/>
      <c r="E298" s="200"/>
      <c r="F298" s="199">
        <f>SUM(F277:F297)</f>
        <v>90632.5</v>
      </c>
      <c r="G298" s="198"/>
      <c r="H298" s="199">
        <f>SUM(H277:H297)</f>
        <v>79333.5</v>
      </c>
    </row>
    <row r="299" spans="1:16">
      <c r="A299" s="196">
        <f>(SUM(A298,1))</f>
        <v>240</v>
      </c>
      <c r="B299" s="195" t="s">
        <v>2176</v>
      </c>
      <c r="C299" s="192"/>
      <c r="D299" s="194">
        <v>3</v>
      </c>
      <c r="E299" s="192" t="s">
        <v>565</v>
      </c>
      <c r="F299" s="213">
        <f>ROUND(F298*D299*0.01,1)</f>
        <v>2719</v>
      </c>
      <c r="G299" s="192"/>
      <c r="H299" s="191"/>
    </row>
    <row r="300" spans="1:16">
      <c r="A300" s="196">
        <f>(SUM(A299,1))</f>
        <v>241</v>
      </c>
      <c r="B300" s="195" t="s">
        <v>2175</v>
      </c>
      <c r="C300" s="192"/>
      <c r="D300" s="194">
        <v>6</v>
      </c>
      <c r="E300" s="192" t="s">
        <v>565</v>
      </c>
      <c r="F300" s="193"/>
      <c r="G300" s="192"/>
      <c r="H300" s="213">
        <f>ROUND(H298*D300*0.01,1)</f>
        <v>4760</v>
      </c>
    </row>
    <row r="301" spans="1:16">
      <c r="A301" s="190">
        <f>(SUM(A300,1))</f>
        <v>242</v>
      </c>
      <c r="B301" s="189" t="s">
        <v>2168</v>
      </c>
      <c r="C301" s="188"/>
      <c r="D301" s="188"/>
      <c r="E301" s="188"/>
      <c r="F301" s="187">
        <f>SUM(F298:F300)</f>
        <v>93351.5</v>
      </c>
      <c r="G301" s="212"/>
      <c r="H301" s="187">
        <f>SUM(H298:H300)</f>
        <v>84093.5</v>
      </c>
    </row>
    <row r="302" spans="1:16">
      <c r="B302" s="229"/>
      <c r="C302" s="192"/>
      <c r="D302" s="192"/>
      <c r="E302" s="192"/>
      <c r="F302" s="228"/>
      <c r="G302" s="192"/>
      <c r="H302" s="228"/>
    </row>
    <row r="303" spans="1:16">
      <c r="B303" s="229"/>
      <c r="C303" s="192"/>
      <c r="D303" s="192"/>
      <c r="E303" s="192"/>
      <c r="F303" s="228"/>
      <c r="G303" s="192"/>
      <c r="H303" s="228"/>
    </row>
    <row r="304" spans="1:16">
      <c r="B304" s="229"/>
      <c r="C304" s="192"/>
      <c r="D304" s="192"/>
      <c r="E304" s="192"/>
      <c r="F304" s="228"/>
      <c r="G304" s="192"/>
      <c r="H304" s="228"/>
    </row>
    <row r="305" spans="1:16">
      <c r="A305" s="211"/>
      <c r="B305" s="227" t="s">
        <v>2290</v>
      </c>
      <c r="C305" s="210"/>
      <c r="D305" s="210"/>
      <c r="E305" s="299" t="s">
        <v>2173</v>
      </c>
      <c r="F305" s="299"/>
      <c r="G305" s="299" t="s">
        <v>2172</v>
      </c>
      <c r="H305" s="299"/>
    </row>
    <row r="306" spans="1:16">
      <c r="A306" s="209" t="s">
        <v>2171</v>
      </c>
      <c r="B306" s="226" t="s">
        <v>2170</v>
      </c>
      <c r="C306" s="207" t="s">
        <v>2185</v>
      </c>
      <c r="D306" s="206" t="s">
        <v>2184</v>
      </c>
      <c r="E306" s="207" t="s">
        <v>2183</v>
      </c>
      <c r="F306" s="206" t="s">
        <v>2169</v>
      </c>
      <c r="G306" s="207" t="s">
        <v>2183</v>
      </c>
      <c r="H306" s="206" t="s">
        <v>2169</v>
      </c>
    </row>
    <row r="307" spans="1:16">
      <c r="A307" s="205">
        <f>(SUM(A301,1))</f>
        <v>243</v>
      </c>
      <c r="B307" s="230" t="s">
        <v>2289</v>
      </c>
      <c r="C307" s="219" t="s">
        <v>450</v>
      </c>
      <c r="D307" s="214">
        <v>1</v>
      </c>
      <c r="E307" s="218">
        <f>ROUND($I$1*I307,1)</f>
        <v>31497.9</v>
      </c>
      <c r="F307" s="217">
        <f>PRODUCT(D307,E307)</f>
        <v>31497.9</v>
      </c>
      <c r="G307" s="218">
        <f>ROUND($J$1*J307,1)</f>
        <v>15900</v>
      </c>
      <c r="H307" s="217">
        <f>PRODUCT(D307,G307)</f>
        <v>15900</v>
      </c>
      <c r="I307" s="216">
        <v>14999</v>
      </c>
      <c r="J307" s="215">
        <v>3000</v>
      </c>
      <c r="P307" s="214">
        <v>2</v>
      </c>
    </row>
    <row r="308" spans="1:16">
      <c r="A308" s="205">
        <f>(SUM(A307,1))</f>
        <v>244</v>
      </c>
      <c r="B308" s="230" t="s">
        <v>2288</v>
      </c>
      <c r="C308" s="222" t="s">
        <v>450</v>
      </c>
      <c r="D308" s="221">
        <v>1</v>
      </c>
      <c r="E308" s="218">
        <f>ROUND($I$1*I308,1)</f>
        <v>6258</v>
      </c>
      <c r="F308" s="217">
        <f>PRODUCT(D308,E308)</f>
        <v>6258</v>
      </c>
      <c r="G308" s="218">
        <f>ROUND($J$1*J308,1)</f>
        <v>265</v>
      </c>
      <c r="H308" s="217">
        <f>PRODUCT(D308,G308)</f>
        <v>265</v>
      </c>
      <c r="I308" s="216">
        <v>2980</v>
      </c>
      <c r="J308" s="215">
        <v>50</v>
      </c>
      <c r="P308" s="221">
        <v>2</v>
      </c>
    </row>
    <row r="309" spans="1:16">
      <c r="A309" s="205">
        <f>(SUM(A308,1))</f>
        <v>245</v>
      </c>
      <c r="B309" s="223" t="s">
        <v>2287</v>
      </c>
      <c r="C309" s="222" t="s">
        <v>450</v>
      </c>
      <c r="D309" s="221">
        <v>1</v>
      </c>
      <c r="E309" s="218">
        <f>ROUND($I$1*I309,1)</f>
        <v>4410</v>
      </c>
      <c r="F309" s="217">
        <f>PRODUCT(D309,E309)</f>
        <v>4410</v>
      </c>
      <c r="G309" s="218">
        <f>ROUND($J$1*J309,1)</f>
        <v>0</v>
      </c>
      <c r="H309" s="217">
        <f>PRODUCT(D309,G309)</f>
        <v>0</v>
      </c>
      <c r="I309" s="216">
        <v>2100</v>
      </c>
      <c r="J309" s="215">
        <v>0</v>
      </c>
      <c r="P309" s="221">
        <v>2</v>
      </c>
    </row>
    <row r="310" spans="1:16" ht="16.5">
      <c r="A310" s="205">
        <f>(SUM(A309,1))</f>
        <v>246</v>
      </c>
      <c r="B310" s="231" t="s">
        <v>2286</v>
      </c>
      <c r="C310" s="222" t="s">
        <v>450</v>
      </c>
      <c r="D310" s="221">
        <v>8</v>
      </c>
      <c r="E310" s="218">
        <f>ROUND($I$1*I310,1)</f>
        <v>315</v>
      </c>
      <c r="F310" s="217">
        <f>PRODUCT(D310,E310)</f>
        <v>2520</v>
      </c>
      <c r="G310" s="218">
        <f>ROUND($J$1*J310,1)</f>
        <v>477</v>
      </c>
      <c r="H310" s="217">
        <f>PRODUCT(D310,G310)</f>
        <v>3816</v>
      </c>
      <c r="I310" s="216">
        <v>150</v>
      </c>
      <c r="J310" s="215">
        <v>90</v>
      </c>
      <c r="P310" s="221">
        <v>16</v>
      </c>
    </row>
    <row r="311" spans="1:16">
      <c r="A311" s="205">
        <f>(SUM(A310,1))</f>
        <v>247</v>
      </c>
      <c r="B311" s="230" t="s">
        <v>2285</v>
      </c>
      <c r="C311" s="222" t="s">
        <v>450</v>
      </c>
      <c r="D311" s="221">
        <v>1</v>
      </c>
      <c r="E311" s="218">
        <f>ROUND($I$1*I311,1)</f>
        <v>4410</v>
      </c>
      <c r="F311" s="217">
        <f>PRODUCT(D311,E311)</f>
        <v>4410</v>
      </c>
      <c r="G311" s="218">
        <f>ROUND($J$1*J311,1)</f>
        <v>0</v>
      </c>
      <c r="H311" s="217">
        <f>PRODUCT(D311,G311)</f>
        <v>0</v>
      </c>
      <c r="I311" s="216">
        <v>2100</v>
      </c>
      <c r="J311" s="215">
        <v>0</v>
      </c>
      <c r="P311" s="221">
        <v>2</v>
      </c>
    </row>
    <row r="312" spans="1:16">
      <c r="A312" s="205">
        <f>(SUM(A311,1))</f>
        <v>248</v>
      </c>
      <c r="B312" s="230" t="s">
        <v>2284</v>
      </c>
      <c r="C312" s="222" t="s">
        <v>450</v>
      </c>
      <c r="D312" s="221">
        <v>6</v>
      </c>
      <c r="E312" s="218">
        <f>ROUND($I$1*I312,1)</f>
        <v>4410</v>
      </c>
      <c r="F312" s="217">
        <f>PRODUCT(D312,E312)</f>
        <v>26460</v>
      </c>
      <c r="G312" s="218">
        <f>ROUND($J$1*J312,1)</f>
        <v>0</v>
      </c>
      <c r="H312" s="217">
        <f>PRODUCT(D312,G312)</f>
        <v>0</v>
      </c>
      <c r="I312" s="216">
        <v>2100</v>
      </c>
      <c r="J312" s="215">
        <v>0</v>
      </c>
      <c r="P312" s="221">
        <v>12</v>
      </c>
    </row>
    <row r="313" spans="1:16">
      <c r="A313" s="205">
        <f>(SUM(A312,1))</f>
        <v>249</v>
      </c>
      <c r="B313" s="230" t="s">
        <v>2283</v>
      </c>
      <c r="C313" s="222" t="s">
        <v>450</v>
      </c>
      <c r="D313" s="221">
        <v>6</v>
      </c>
      <c r="E313" s="218">
        <f>ROUND($I$1*I313,1)</f>
        <v>1365</v>
      </c>
      <c r="F313" s="217">
        <f>PRODUCT(D313,E313)</f>
        <v>8190</v>
      </c>
      <c r="G313" s="218">
        <f>ROUND($J$1*J313,1)</f>
        <v>0</v>
      </c>
      <c r="H313" s="217">
        <f>PRODUCT(D313,G313)</f>
        <v>0</v>
      </c>
      <c r="I313" s="216">
        <v>650</v>
      </c>
      <c r="J313" s="215">
        <v>0</v>
      </c>
      <c r="P313" s="221">
        <v>12</v>
      </c>
    </row>
    <row r="314" spans="1:16">
      <c r="A314" s="205">
        <f>(SUM(A313,1))</f>
        <v>250</v>
      </c>
      <c r="B314" s="230" t="s">
        <v>2282</v>
      </c>
      <c r="C314" s="222" t="s">
        <v>450</v>
      </c>
      <c r="D314" s="221">
        <v>1</v>
      </c>
      <c r="E314" s="218">
        <f>ROUND($I$1*I314,1)</f>
        <v>3444</v>
      </c>
      <c r="F314" s="217">
        <f>PRODUCT(D314,E314)</f>
        <v>3444</v>
      </c>
      <c r="G314" s="218">
        <f>ROUND($J$1*J314,1)</f>
        <v>0</v>
      </c>
      <c r="H314" s="217">
        <f>PRODUCT(D314,G314)</f>
        <v>0</v>
      </c>
      <c r="I314" s="216">
        <v>1640</v>
      </c>
      <c r="J314" s="215">
        <v>0</v>
      </c>
      <c r="P314" s="221">
        <v>2</v>
      </c>
    </row>
    <row r="315" spans="1:16">
      <c r="A315" s="205">
        <f>(SUM(A314,1))</f>
        <v>251</v>
      </c>
      <c r="B315" s="230" t="s">
        <v>2281</v>
      </c>
      <c r="C315" s="222" t="s">
        <v>450</v>
      </c>
      <c r="D315" s="221">
        <v>3</v>
      </c>
      <c r="E315" s="218">
        <f>ROUND($I$1*I315,1)</f>
        <v>1785</v>
      </c>
      <c r="F315" s="217">
        <f>PRODUCT(D315,E315)</f>
        <v>5355</v>
      </c>
      <c r="G315" s="218">
        <f>ROUND($J$1*J315,1)</f>
        <v>0</v>
      </c>
      <c r="H315" s="217">
        <f>PRODUCT(D315,G315)</f>
        <v>0</v>
      </c>
      <c r="I315" s="216">
        <v>850</v>
      </c>
      <c r="J315" s="215">
        <v>0</v>
      </c>
      <c r="P315" s="221">
        <v>6</v>
      </c>
    </row>
    <row r="316" spans="1:16">
      <c r="A316" s="205">
        <f>(SUM(A315,1))</f>
        <v>252</v>
      </c>
      <c r="B316" s="230" t="s">
        <v>2280</v>
      </c>
      <c r="C316" s="222" t="s">
        <v>450</v>
      </c>
      <c r="D316" s="221">
        <v>100</v>
      </c>
      <c r="E316" s="218">
        <f>ROUND($I$1*I316,1)</f>
        <v>60.9</v>
      </c>
      <c r="F316" s="217">
        <f>PRODUCT(D316,E316)</f>
        <v>6090</v>
      </c>
      <c r="G316" s="218">
        <f>ROUND($J$1*J316,1)</f>
        <v>0</v>
      </c>
      <c r="H316" s="217">
        <f>PRODUCT(D316,G316)</f>
        <v>0</v>
      </c>
      <c r="I316" s="216">
        <v>29</v>
      </c>
      <c r="J316" s="215">
        <v>0</v>
      </c>
      <c r="P316" s="221">
        <v>200</v>
      </c>
    </row>
    <row r="317" spans="1:16">
      <c r="A317" s="205">
        <f>(SUM(A316,1))</f>
        <v>253</v>
      </c>
      <c r="B317" s="230" t="s">
        <v>2279</v>
      </c>
      <c r="C317" s="222" t="s">
        <v>450</v>
      </c>
      <c r="D317" s="221">
        <v>50</v>
      </c>
      <c r="E317" s="218">
        <f>ROUND($I$1*I317,1)</f>
        <v>96.6</v>
      </c>
      <c r="F317" s="217">
        <f>PRODUCT(D317,E317)</f>
        <v>4830</v>
      </c>
      <c r="G317" s="218">
        <f>ROUND($J$1*J317,1)</f>
        <v>0</v>
      </c>
      <c r="H317" s="217">
        <f>PRODUCT(D317,G317)</f>
        <v>0</v>
      </c>
      <c r="I317" s="216">
        <v>46</v>
      </c>
      <c r="J317" s="215">
        <v>0</v>
      </c>
      <c r="P317" s="221">
        <v>100</v>
      </c>
    </row>
    <row r="318" spans="1:16">
      <c r="A318" s="205">
        <f>(SUM(A317,1))</f>
        <v>254</v>
      </c>
      <c r="B318" s="230" t="s">
        <v>2278</v>
      </c>
      <c r="C318" s="222" t="s">
        <v>450</v>
      </c>
      <c r="D318" s="221">
        <v>1</v>
      </c>
      <c r="E318" s="218">
        <f>ROUND($I$1*I318,1)</f>
        <v>15645</v>
      </c>
      <c r="F318" s="217">
        <f>PRODUCT(D318,E318)</f>
        <v>15645</v>
      </c>
      <c r="G318" s="218">
        <f>ROUND($J$1*J318,1)</f>
        <v>0</v>
      </c>
      <c r="H318" s="217">
        <f>PRODUCT(D318,G318)</f>
        <v>0</v>
      </c>
      <c r="I318" s="216">
        <v>7450</v>
      </c>
      <c r="J318" s="215">
        <v>0</v>
      </c>
      <c r="P318" s="221">
        <v>2</v>
      </c>
    </row>
    <row r="319" spans="1:16">
      <c r="A319" s="205">
        <f>(SUM(A318,1))</f>
        <v>255</v>
      </c>
      <c r="B319" s="230" t="s">
        <v>2277</v>
      </c>
      <c r="C319" s="222" t="s">
        <v>450</v>
      </c>
      <c r="D319" s="221">
        <v>6</v>
      </c>
      <c r="E319" s="218">
        <f>ROUND($I$1*I319,1)</f>
        <v>13650</v>
      </c>
      <c r="F319" s="217">
        <f>PRODUCT(D319,E319)</f>
        <v>81900</v>
      </c>
      <c r="G319" s="218">
        <f>ROUND($J$1*J319,1)</f>
        <v>0</v>
      </c>
      <c r="H319" s="217">
        <f>PRODUCT(D319,G319)</f>
        <v>0</v>
      </c>
      <c r="I319" s="216">
        <v>6500</v>
      </c>
      <c r="J319" s="215">
        <v>0</v>
      </c>
      <c r="P319" s="221">
        <v>12</v>
      </c>
    </row>
    <row r="320" spans="1:16">
      <c r="A320" s="205">
        <f>(SUM(A319,1))</f>
        <v>256</v>
      </c>
      <c r="B320" s="230" t="s">
        <v>2276</v>
      </c>
      <c r="C320" s="222" t="s">
        <v>450</v>
      </c>
      <c r="D320" s="221">
        <v>3</v>
      </c>
      <c r="E320" s="218">
        <f>ROUND($I$1*I320,1)</f>
        <v>2730</v>
      </c>
      <c r="F320" s="217">
        <f>PRODUCT(D320,E320)</f>
        <v>8190</v>
      </c>
      <c r="G320" s="218">
        <f>ROUND($J$1*J320,1)</f>
        <v>0</v>
      </c>
      <c r="H320" s="217">
        <f>PRODUCT(D320,G320)</f>
        <v>0</v>
      </c>
      <c r="I320" s="216">
        <v>1300</v>
      </c>
      <c r="J320" s="215">
        <v>0</v>
      </c>
      <c r="P320" s="221">
        <v>6</v>
      </c>
    </row>
    <row r="321" spans="1:16">
      <c r="A321" s="205">
        <f>(SUM(A320,1))</f>
        <v>257</v>
      </c>
      <c r="B321" s="230" t="s">
        <v>2275</v>
      </c>
      <c r="C321" s="222" t="s">
        <v>450</v>
      </c>
      <c r="D321" s="221">
        <v>1</v>
      </c>
      <c r="E321" s="218">
        <f>ROUND($I$1*I321,1)</f>
        <v>4200</v>
      </c>
      <c r="F321" s="217">
        <f>PRODUCT(D321,E321)</f>
        <v>4200</v>
      </c>
      <c r="G321" s="218">
        <f>ROUND($J$1*J321,1)</f>
        <v>0</v>
      </c>
      <c r="H321" s="217">
        <f>PRODUCT(D321,G321)</f>
        <v>0</v>
      </c>
      <c r="I321" s="216">
        <v>2000</v>
      </c>
      <c r="J321" s="215">
        <v>0</v>
      </c>
      <c r="P321" s="221">
        <v>2</v>
      </c>
    </row>
    <row r="322" spans="1:16">
      <c r="A322" s="205">
        <f>(SUM(A321,1))</f>
        <v>258</v>
      </c>
      <c r="B322" s="230" t="s">
        <v>2274</v>
      </c>
      <c r="C322" s="222" t="s">
        <v>450</v>
      </c>
      <c r="D322" s="221">
        <v>2</v>
      </c>
      <c r="E322" s="218">
        <f>ROUND($I$1*I322,1)</f>
        <v>6300</v>
      </c>
      <c r="F322" s="217">
        <f>PRODUCT(D322,E322)</f>
        <v>12600</v>
      </c>
      <c r="G322" s="218">
        <f>ROUND($J$1*J322,1)</f>
        <v>0</v>
      </c>
      <c r="H322" s="217">
        <f>PRODUCT(D322,G322)</f>
        <v>0</v>
      </c>
      <c r="I322" s="216">
        <v>3000</v>
      </c>
      <c r="J322" s="215">
        <v>0</v>
      </c>
      <c r="P322" s="221">
        <v>4</v>
      </c>
    </row>
    <row r="323" spans="1:16" ht="16.5">
      <c r="A323" s="205">
        <f>(SUM(A322,1))</f>
        <v>259</v>
      </c>
      <c r="B323" s="230" t="s">
        <v>2273</v>
      </c>
      <c r="C323" s="222" t="s">
        <v>450</v>
      </c>
      <c r="D323" s="221">
        <v>120</v>
      </c>
      <c r="E323" s="218">
        <f>ROUND($I$1*I323,1)</f>
        <v>0</v>
      </c>
      <c r="F323" s="217">
        <f>PRODUCT(D323,E323)</f>
        <v>0</v>
      </c>
      <c r="G323" s="218">
        <f>ROUND($J$1*J323,1)</f>
        <v>42.4</v>
      </c>
      <c r="H323" s="217">
        <f>PRODUCT(D323,G323)</f>
        <v>5088</v>
      </c>
      <c r="I323" s="216">
        <v>0</v>
      </c>
      <c r="J323" s="215">
        <v>8</v>
      </c>
      <c r="P323" s="221">
        <v>250</v>
      </c>
    </row>
    <row r="324" spans="1:16">
      <c r="A324" s="205">
        <f>(SUM(A323,1))</f>
        <v>260</v>
      </c>
      <c r="B324" s="230" t="s">
        <v>2226</v>
      </c>
      <c r="C324" s="222" t="s">
        <v>193</v>
      </c>
      <c r="D324" s="221">
        <v>4600</v>
      </c>
      <c r="E324" s="218">
        <f>ROUND($I$1*I324,1)</f>
        <v>23.1</v>
      </c>
      <c r="F324" s="217">
        <f>PRODUCT(D324,E324)</f>
        <v>106260</v>
      </c>
      <c r="G324" s="218">
        <f>ROUND($J$1*J324,1)</f>
        <v>14.8</v>
      </c>
      <c r="H324" s="217">
        <f>PRODUCT(D324,G324)</f>
        <v>68080</v>
      </c>
      <c r="I324" s="216">
        <v>11</v>
      </c>
      <c r="J324" s="215">
        <v>2.8</v>
      </c>
      <c r="P324" s="221">
        <v>10500</v>
      </c>
    </row>
    <row r="325" spans="1:16">
      <c r="A325" s="205">
        <f>(SUM(A324,1))</f>
        <v>261</v>
      </c>
      <c r="B325" s="223" t="s">
        <v>2272</v>
      </c>
      <c r="C325" s="222" t="s">
        <v>193</v>
      </c>
      <c r="D325" s="221">
        <v>25</v>
      </c>
      <c r="E325" s="218">
        <f>ROUND($I$1*I325,1)</f>
        <v>17.2</v>
      </c>
      <c r="F325" s="217">
        <f>PRODUCT(D325,E325)</f>
        <v>430</v>
      </c>
      <c r="G325" s="218">
        <f>ROUND($J$1*J325,1)</f>
        <v>27.6</v>
      </c>
      <c r="H325" s="217">
        <f>PRODUCT(D325,G325)</f>
        <v>690</v>
      </c>
      <c r="I325" s="216">
        <v>8.1999999999999993</v>
      </c>
      <c r="J325" s="215">
        <v>5.2</v>
      </c>
      <c r="P325" s="221">
        <v>50</v>
      </c>
    </row>
    <row r="326" spans="1:16">
      <c r="A326" s="205">
        <f>(SUM(A325,1))</f>
        <v>262</v>
      </c>
      <c r="B326" s="223" t="s">
        <v>2271</v>
      </c>
      <c r="C326" s="222" t="s">
        <v>193</v>
      </c>
      <c r="D326" s="221">
        <v>200</v>
      </c>
      <c r="E326" s="218">
        <f>ROUND($I$1*I326,1)</f>
        <v>17.2</v>
      </c>
      <c r="F326" s="217">
        <f>PRODUCT(D326,E326)</f>
        <v>3440</v>
      </c>
      <c r="G326" s="218">
        <f>ROUND($J$1*J326,1)</f>
        <v>27.6</v>
      </c>
      <c r="H326" s="217">
        <f>PRODUCT(D326,G326)</f>
        <v>5520</v>
      </c>
      <c r="I326" s="216">
        <v>8.1999999999999993</v>
      </c>
      <c r="J326" s="215">
        <v>5.2</v>
      </c>
      <c r="P326" s="221">
        <v>200</v>
      </c>
    </row>
    <row r="327" spans="1:16">
      <c r="A327" s="205">
        <f>(SUM(A326,1))</f>
        <v>263</v>
      </c>
      <c r="B327" s="223" t="s">
        <v>2270</v>
      </c>
      <c r="C327" s="222" t="s">
        <v>193</v>
      </c>
      <c r="D327" s="221">
        <v>25</v>
      </c>
      <c r="E327" s="218">
        <f>ROUND($I$1*I327,1)</f>
        <v>20.100000000000001</v>
      </c>
      <c r="F327" s="217">
        <f>PRODUCT(D327,E327)</f>
        <v>502.50000000000006</v>
      </c>
      <c r="G327" s="218">
        <f>ROUND($J$1*J327,1)</f>
        <v>38.200000000000003</v>
      </c>
      <c r="H327" s="217">
        <f>PRODUCT(D327,G327)</f>
        <v>955.00000000000011</v>
      </c>
      <c r="I327" s="216">
        <v>9.56</v>
      </c>
      <c r="J327" s="215">
        <v>7.2</v>
      </c>
      <c r="P327" s="221">
        <v>50</v>
      </c>
    </row>
    <row r="328" spans="1:16">
      <c r="A328" s="205">
        <f>(SUM(A327,1))</f>
        <v>264</v>
      </c>
      <c r="B328" s="223" t="s">
        <v>2269</v>
      </c>
      <c r="C328" s="222" t="s">
        <v>193</v>
      </c>
      <c r="D328" s="221">
        <v>100</v>
      </c>
      <c r="E328" s="218">
        <f>ROUND($I$1*I328,1)</f>
        <v>38.6</v>
      </c>
      <c r="F328" s="217">
        <f>PRODUCT(D328,E328)</f>
        <v>3860</v>
      </c>
      <c r="G328" s="218">
        <f>ROUND($J$1*J328,1)</f>
        <v>27.6</v>
      </c>
      <c r="H328" s="217">
        <f>PRODUCT(D328,G328)</f>
        <v>2760</v>
      </c>
      <c r="I328" s="216">
        <v>18.39</v>
      </c>
      <c r="J328" s="215">
        <v>5.2</v>
      </c>
      <c r="P328" s="221">
        <v>200</v>
      </c>
    </row>
    <row r="329" spans="1:16">
      <c r="A329" s="205">
        <f>(SUM(A328,1))</f>
        <v>265</v>
      </c>
      <c r="B329" s="223" t="s">
        <v>2268</v>
      </c>
      <c r="C329" s="222" t="s">
        <v>193</v>
      </c>
      <c r="D329" s="221">
        <v>100</v>
      </c>
      <c r="E329" s="218">
        <f>ROUND($I$1*I329,1)</f>
        <v>72.599999999999994</v>
      </c>
      <c r="F329" s="217">
        <f>PRODUCT(D329,E329)</f>
        <v>7259.9999999999991</v>
      </c>
      <c r="G329" s="218">
        <f>ROUND($J$1*J329,1)</f>
        <v>27.6</v>
      </c>
      <c r="H329" s="217">
        <f>PRODUCT(D329,G329)</f>
        <v>2760</v>
      </c>
      <c r="I329" s="215">
        <v>34.549999999999997</v>
      </c>
      <c r="J329" s="215">
        <v>5.2</v>
      </c>
      <c r="P329" s="221">
        <v>160</v>
      </c>
    </row>
    <row r="330" spans="1:16">
      <c r="A330" s="205">
        <f>(SUM(A329,1))</f>
        <v>266</v>
      </c>
      <c r="B330" s="230" t="s">
        <v>2267</v>
      </c>
      <c r="C330" s="222" t="s">
        <v>450</v>
      </c>
      <c r="D330" s="221">
        <v>2</v>
      </c>
      <c r="E330" s="218">
        <f>ROUND($I$1*I330,1)</f>
        <v>0</v>
      </c>
      <c r="F330" s="217">
        <f>PRODUCT(D330,E330)</f>
        <v>0</v>
      </c>
      <c r="G330" s="218">
        <f>ROUND($J$1*J330,1)</f>
        <v>106</v>
      </c>
      <c r="H330" s="217">
        <f>PRODUCT(D330,G330)</f>
        <v>212</v>
      </c>
      <c r="I330" s="216">
        <v>0</v>
      </c>
      <c r="J330" s="215">
        <f>10*2</f>
        <v>20</v>
      </c>
      <c r="P330" s="221">
        <v>4</v>
      </c>
    </row>
    <row r="331" spans="1:16">
      <c r="A331" s="205">
        <f>(SUM(A330,1))</f>
        <v>267</v>
      </c>
      <c r="B331" s="230" t="s">
        <v>2266</v>
      </c>
      <c r="C331" s="222" t="s">
        <v>450</v>
      </c>
      <c r="D331" s="221">
        <v>2</v>
      </c>
      <c r="E331" s="218">
        <f>ROUND($I$1*I331,1)</f>
        <v>0</v>
      </c>
      <c r="F331" s="217">
        <f>PRODUCT(D331,E331)</f>
        <v>0</v>
      </c>
      <c r="G331" s="218">
        <f>ROUND($J$1*J331,1)</f>
        <v>106</v>
      </c>
      <c r="H331" s="217">
        <f>PRODUCT(D331,G331)</f>
        <v>212</v>
      </c>
      <c r="I331" s="216">
        <v>0</v>
      </c>
      <c r="J331" s="215">
        <f>10*2</f>
        <v>20</v>
      </c>
      <c r="P331" s="221">
        <v>4</v>
      </c>
    </row>
    <row r="332" spans="1:16">
      <c r="A332" s="205">
        <f>(SUM(A331,1))</f>
        <v>268</v>
      </c>
      <c r="B332" s="230" t="s">
        <v>2265</v>
      </c>
      <c r="C332" s="222" t="s">
        <v>450</v>
      </c>
      <c r="D332" s="221">
        <v>30</v>
      </c>
      <c r="E332" s="218">
        <f>ROUND($I$1*I332,1)</f>
        <v>14.7</v>
      </c>
      <c r="F332" s="217">
        <f>PRODUCT(D332,E332)</f>
        <v>441</v>
      </c>
      <c r="G332" s="218">
        <f>ROUND($J$1*J332,1)</f>
        <v>42.4</v>
      </c>
      <c r="H332" s="217">
        <f>PRODUCT(D332,G332)</f>
        <v>1272</v>
      </c>
      <c r="I332" s="216">
        <v>7</v>
      </c>
      <c r="J332" s="215">
        <v>8</v>
      </c>
      <c r="P332" s="221">
        <v>60</v>
      </c>
    </row>
    <row r="333" spans="1:16" ht="24.75">
      <c r="A333" s="205">
        <f>(SUM(A332,1))</f>
        <v>269</v>
      </c>
      <c r="B333" s="240" t="s">
        <v>2264</v>
      </c>
      <c r="C333" s="222" t="s">
        <v>450</v>
      </c>
      <c r="D333" s="221">
        <v>9</v>
      </c>
      <c r="E333" s="218">
        <f>ROUND($I$1*I333,1)</f>
        <v>3150</v>
      </c>
      <c r="F333" s="217">
        <f>PRODUCT(D333,E333)</f>
        <v>28350</v>
      </c>
      <c r="G333" s="218">
        <f>ROUND($J$1*J333,1)</f>
        <v>238.5</v>
      </c>
      <c r="H333" s="217">
        <f>PRODUCT(D333,G333)</f>
        <v>2146.5</v>
      </c>
      <c r="I333" s="216">
        <v>1500</v>
      </c>
      <c r="J333" s="215">
        <v>45</v>
      </c>
      <c r="P333" s="221">
        <v>18</v>
      </c>
    </row>
    <row r="334" spans="1:16" ht="16.5">
      <c r="A334" s="205">
        <f>(SUM(A333,1))</f>
        <v>270</v>
      </c>
      <c r="B334" s="240" t="s">
        <v>2263</v>
      </c>
      <c r="C334" s="222" t="s">
        <v>450</v>
      </c>
      <c r="D334" s="221">
        <v>1</v>
      </c>
      <c r="E334" s="218">
        <f>ROUND($I$1*I334,1)</f>
        <v>12180</v>
      </c>
      <c r="F334" s="217">
        <f>PRODUCT(D334,E334)</f>
        <v>12180</v>
      </c>
      <c r="G334" s="218">
        <f>ROUND($J$1*J334,1)</f>
        <v>344.5</v>
      </c>
      <c r="H334" s="217">
        <f>PRODUCT(D334,G334)</f>
        <v>344.5</v>
      </c>
      <c r="I334" s="216">
        <v>5800</v>
      </c>
      <c r="J334" s="215">
        <v>65</v>
      </c>
      <c r="P334" s="221">
        <v>2</v>
      </c>
    </row>
    <row r="335" spans="1:16" ht="16.5">
      <c r="A335" s="205">
        <f>(SUM(A334,1))</f>
        <v>271</v>
      </c>
      <c r="B335" s="231" t="s">
        <v>2262</v>
      </c>
      <c r="C335" s="222" t="s">
        <v>450</v>
      </c>
      <c r="D335" s="221">
        <v>2</v>
      </c>
      <c r="E335" s="218">
        <f>ROUND($I$1*I335,1)</f>
        <v>33600</v>
      </c>
      <c r="F335" s="217">
        <f>PRODUCT(D335,E335)</f>
        <v>67200</v>
      </c>
      <c r="G335" s="218">
        <f>ROUND($J$1*J335,1)</f>
        <v>795</v>
      </c>
      <c r="H335" s="217">
        <f>PRODUCT(D335,G335)</f>
        <v>1590</v>
      </c>
      <c r="I335" s="216">
        <v>16000</v>
      </c>
      <c r="J335" s="215">
        <v>150</v>
      </c>
      <c r="P335" s="221">
        <v>4</v>
      </c>
    </row>
    <row r="336" spans="1:16">
      <c r="A336" s="205">
        <f>(SUM(A335,1))</f>
        <v>272</v>
      </c>
      <c r="B336" s="230" t="s">
        <v>2261</v>
      </c>
      <c r="C336" s="219" t="s">
        <v>450</v>
      </c>
      <c r="D336" s="214">
        <v>1</v>
      </c>
      <c r="E336" s="218">
        <f>ROUND($I$1*I336,1)</f>
        <v>1680</v>
      </c>
      <c r="F336" s="217">
        <f>PRODUCT(D336,E336)</f>
        <v>1680</v>
      </c>
      <c r="G336" s="218">
        <f>ROUND($J$1*J336,1)</f>
        <v>344.5</v>
      </c>
      <c r="H336" s="217">
        <f>PRODUCT(D336,G336)</f>
        <v>344.5</v>
      </c>
      <c r="I336" s="216">
        <v>800</v>
      </c>
      <c r="J336" s="215">
        <v>65</v>
      </c>
      <c r="P336" s="214">
        <v>2</v>
      </c>
    </row>
    <row r="337" spans="1:16" ht="41.25">
      <c r="A337" s="205">
        <f>(SUM(A336,1))</f>
        <v>273</v>
      </c>
      <c r="B337" s="240" t="s">
        <v>2260</v>
      </c>
      <c r="C337" s="222" t="s">
        <v>450</v>
      </c>
      <c r="D337" s="221">
        <v>2</v>
      </c>
      <c r="E337" s="218">
        <f>ROUND($I$1*I337,1)</f>
        <v>6552</v>
      </c>
      <c r="F337" s="217">
        <f>PRODUCT(D337,E337)</f>
        <v>13104</v>
      </c>
      <c r="G337" s="218">
        <f>ROUND($J$1*J337,1)</f>
        <v>344.5</v>
      </c>
      <c r="H337" s="217">
        <f>PRODUCT(D337,G337)</f>
        <v>689</v>
      </c>
      <c r="I337" s="216">
        <v>3120</v>
      </c>
      <c r="J337" s="215">
        <v>65</v>
      </c>
      <c r="P337" s="221">
        <v>4</v>
      </c>
    </row>
    <row r="338" spans="1:16" ht="33">
      <c r="A338" s="205">
        <f>(SUM(A337,1))</f>
        <v>274</v>
      </c>
      <c r="B338" s="240" t="s">
        <v>2259</v>
      </c>
      <c r="C338" s="222" t="s">
        <v>450</v>
      </c>
      <c r="D338" s="221">
        <v>8</v>
      </c>
      <c r="E338" s="218">
        <f>ROUND($I$1*I338,1)</f>
        <v>14364</v>
      </c>
      <c r="F338" s="217">
        <f>PRODUCT(D338,E338)</f>
        <v>114912</v>
      </c>
      <c r="G338" s="218">
        <f>ROUND($J$1*J338,1)</f>
        <v>344.5</v>
      </c>
      <c r="H338" s="217">
        <f>PRODUCT(D338,G338)</f>
        <v>2756</v>
      </c>
      <c r="I338" s="216">
        <v>6840</v>
      </c>
      <c r="J338" s="215">
        <v>65</v>
      </c>
      <c r="P338" s="221">
        <v>14</v>
      </c>
    </row>
    <row r="339" spans="1:16" ht="33">
      <c r="A339" s="205">
        <f>(SUM(A338,1))</f>
        <v>275</v>
      </c>
      <c r="B339" s="240" t="s">
        <v>2258</v>
      </c>
      <c r="C339" s="222" t="s">
        <v>450</v>
      </c>
      <c r="D339" s="221">
        <v>1</v>
      </c>
      <c r="E339" s="218">
        <f>ROUND($I$1*I339,1)</f>
        <v>42837.9</v>
      </c>
      <c r="F339" s="217">
        <f>PRODUCT(D339,E339)</f>
        <v>42837.9</v>
      </c>
      <c r="G339" s="218">
        <f>ROUND($J$1*J339,1)</f>
        <v>2120</v>
      </c>
      <c r="H339" s="217">
        <f>PRODUCT(D339,G339)</f>
        <v>2120</v>
      </c>
      <c r="I339" s="216">
        <v>20399</v>
      </c>
      <c r="J339" s="215">
        <v>400</v>
      </c>
      <c r="P339" s="221">
        <v>2</v>
      </c>
    </row>
    <row r="340" spans="1:16">
      <c r="A340" s="205">
        <f>(SUM(A339,1))</f>
        <v>276</v>
      </c>
      <c r="B340" s="220" t="s">
        <v>2257</v>
      </c>
      <c r="C340" s="219" t="s">
        <v>450</v>
      </c>
      <c r="D340" s="214">
        <v>4</v>
      </c>
      <c r="E340" s="218">
        <f>ROUND($I$1*I340,1)</f>
        <v>5250</v>
      </c>
      <c r="F340" s="217">
        <f>PRODUCT(D340,E340)</f>
        <v>21000</v>
      </c>
      <c r="G340" s="218">
        <f>ROUND($J$1*J340,1)</f>
        <v>0</v>
      </c>
      <c r="H340" s="217">
        <f>PRODUCT(D340,G340)</f>
        <v>0</v>
      </c>
      <c r="I340" s="216">
        <v>2500</v>
      </c>
      <c r="J340" s="215">
        <v>0</v>
      </c>
      <c r="P340" s="214">
        <v>8</v>
      </c>
    </row>
    <row r="341" spans="1:16">
      <c r="A341" s="205">
        <f>(SUM(A340,1))</f>
        <v>277</v>
      </c>
      <c r="B341" s="220" t="s">
        <v>2256</v>
      </c>
      <c r="C341" s="219" t="s">
        <v>450</v>
      </c>
      <c r="D341" s="214">
        <v>8</v>
      </c>
      <c r="E341" s="218">
        <f>ROUND($I$1*I341,1)</f>
        <v>945</v>
      </c>
      <c r="F341" s="217">
        <f>PRODUCT(D341,E341)</f>
        <v>7560</v>
      </c>
      <c r="G341" s="218">
        <f>ROUND($J$1*J341,1)</f>
        <v>238.5</v>
      </c>
      <c r="H341" s="217">
        <f>PRODUCT(D341,G341)</f>
        <v>1908</v>
      </c>
      <c r="I341" s="216">
        <v>450</v>
      </c>
      <c r="J341" s="215">
        <v>45</v>
      </c>
      <c r="P341" s="214">
        <v>14</v>
      </c>
    </row>
    <row r="342" spans="1:16" ht="16.5">
      <c r="A342" s="205">
        <f>(SUM(A341,1))</f>
        <v>278</v>
      </c>
      <c r="B342" s="230" t="s">
        <v>2255</v>
      </c>
      <c r="C342" s="219" t="s">
        <v>450</v>
      </c>
      <c r="D342" s="214">
        <v>1</v>
      </c>
      <c r="E342" s="218">
        <f>ROUND($I$1*I342,1)</f>
        <v>40908</v>
      </c>
      <c r="F342" s="217">
        <f>PRODUCT(D342,E342)</f>
        <v>40908</v>
      </c>
      <c r="G342" s="218">
        <f>ROUND($J$1*J342,1)</f>
        <v>7950</v>
      </c>
      <c r="H342" s="217">
        <f>PRODUCT(D342,G342)</f>
        <v>7950</v>
      </c>
      <c r="I342" s="216">
        <f>8810+6617+3653+400</f>
        <v>19480</v>
      </c>
      <c r="J342" s="215">
        <v>1500</v>
      </c>
      <c r="P342" s="214">
        <v>2</v>
      </c>
    </row>
    <row r="343" spans="1:16" ht="49.5">
      <c r="A343" s="205">
        <f>(SUM(A342,1))</f>
        <v>279</v>
      </c>
      <c r="B343" s="240" t="s">
        <v>2254</v>
      </c>
      <c r="C343" s="222" t="s">
        <v>450</v>
      </c>
      <c r="D343" s="221">
        <v>2</v>
      </c>
      <c r="E343" s="218">
        <f>ROUND($I$1*I343,1)</f>
        <v>10500</v>
      </c>
      <c r="F343" s="217">
        <f>PRODUCT(D343,E343)</f>
        <v>21000</v>
      </c>
      <c r="G343" s="218">
        <f>ROUND($J$1*J343,1)</f>
        <v>530</v>
      </c>
      <c r="H343" s="217">
        <f>PRODUCT(D343,G343)</f>
        <v>1060</v>
      </c>
      <c r="I343" s="216">
        <v>5000</v>
      </c>
      <c r="J343" s="215">
        <v>100</v>
      </c>
      <c r="P343" s="221">
        <v>4</v>
      </c>
    </row>
    <row r="344" spans="1:16" ht="16.5">
      <c r="A344" s="205">
        <f>(SUM(A343,1))</f>
        <v>280</v>
      </c>
      <c r="B344" s="240" t="s">
        <v>2253</v>
      </c>
      <c r="C344" s="222" t="s">
        <v>450</v>
      </c>
      <c r="D344" s="221">
        <v>9</v>
      </c>
      <c r="E344" s="218">
        <f>ROUND($I$1*I344,1)</f>
        <v>1470</v>
      </c>
      <c r="F344" s="217">
        <f>PRODUCT(D344,E344)</f>
        <v>13230</v>
      </c>
      <c r="G344" s="218">
        <f>ROUND($J$1*J344,1)</f>
        <v>53</v>
      </c>
      <c r="H344" s="217">
        <f>PRODUCT(D344,G344)</f>
        <v>477</v>
      </c>
      <c r="I344" s="216">
        <v>700</v>
      </c>
      <c r="J344" s="215">
        <v>10</v>
      </c>
      <c r="P344" s="221">
        <v>18</v>
      </c>
    </row>
    <row r="345" spans="1:16">
      <c r="A345" s="205">
        <f>(SUM(A344,1))</f>
        <v>281</v>
      </c>
      <c r="B345" s="230" t="s">
        <v>2252</v>
      </c>
      <c r="C345" s="222" t="s">
        <v>450</v>
      </c>
      <c r="D345" s="221">
        <v>45</v>
      </c>
      <c r="E345" s="218">
        <f>ROUND($I$1*I345,1)</f>
        <v>840</v>
      </c>
      <c r="F345" s="217">
        <f>PRODUCT(D345,E345)</f>
        <v>37800</v>
      </c>
      <c r="G345" s="218">
        <f>ROUND($J$1*J345,1)</f>
        <v>530</v>
      </c>
      <c r="H345" s="217">
        <f>PRODUCT(D345,G345)</f>
        <v>23850</v>
      </c>
      <c r="I345" s="216">
        <v>400</v>
      </c>
      <c r="J345" s="215">
        <v>100</v>
      </c>
      <c r="P345" s="221">
        <v>110</v>
      </c>
    </row>
    <row r="346" spans="1:16">
      <c r="A346" s="205">
        <f>(SUM(A345,1))</f>
        <v>282</v>
      </c>
      <c r="B346" s="223" t="s">
        <v>2251</v>
      </c>
      <c r="C346" s="222" t="s">
        <v>450</v>
      </c>
      <c r="D346" s="221">
        <v>1</v>
      </c>
      <c r="E346" s="218">
        <f>ROUND($I$1*I346,1)</f>
        <v>4620</v>
      </c>
      <c r="F346" s="217">
        <f>PRODUCT(D346,E346)</f>
        <v>4620</v>
      </c>
      <c r="G346" s="218">
        <f>ROUND($J$1*J346,1)</f>
        <v>848</v>
      </c>
      <c r="H346" s="217">
        <f>PRODUCT(D346,G346)</f>
        <v>848</v>
      </c>
      <c r="I346" s="216">
        <v>2200</v>
      </c>
      <c r="J346" s="215">
        <v>160</v>
      </c>
      <c r="P346" s="221">
        <v>2</v>
      </c>
    </row>
    <row r="347" spans="1:16">
      <c r="A347" s="205">
        <f>(SUM(A346,1))</f>
        <v>283</v>
      </c>
      <c r="B347" s="223" t="s">
        <v>2224</v>
      </c>
      <c r="C347" s="222" t="s">
        <v>193</v>
      </c>
      <c r="D347" s="221">
        <v>70</v>
      </c>
      <c r="E347" s="218">
        <f>ROUND($I$1*I347,1)</f>
        <v>516.6</v>
      </c>
      <c r="F347" s="217">
        <f>PRODUCT(D347,E347)</f>
        <v>36162</v>
      </c>
      <c r="G347" s="218">
        <f>ROUND($J$1*J347,1)</f>
        <v>177.6</v>
      </c>
      <c r="H347" s="217">
        <f>PRODUCT(D347,G347)</f>
        <v>12432</v>
      </c>
      <c r="I347" s="216">
        <f>164*1.5</f>
        <v>246</v>
      </c>
      <c r="J347" s="215">
        <v>33.5</v>
      </c>
      <c r="P347" s="221">
        <v>140</v>
      </c>
    </row>
    <row r="348" spans="1:16">
      <c r="A348" s="205">
        <f>(SUM(A347,1))</f>
        <v>284</v>
      </c>
      <c r="B348" s="223" t="s">
        <v>2216</v>
      </c>
      <c r="C348" s="222" t="s">
        <v>193</v>
      </c>
      <c r="D348" s="221">
        <v>50</v>
      </c>
      <c r="E348" s="218">
        <f>ROUND($I$1*I348,1)</f>
        <v>352.8</v>
      </c>
      <c r="F348" s="217">
        <f>PRODUCT(D348,E348)</f>
        <v>17640</v>
      </c>
      <c r="G348" s="218">
        <f>ROUND($J$1*J348,1)</f>
        <v>161.69999999999999</v>
      </c>
      <c r="H348" s="217">
        <f>PRODUCT(D348,G348)</f>
        <v>8084.9999999999991</v>
      </c>
      <c r="I348" s="216">
        <f>112*1.5</f>
        <v>168</v>
      </c>
      <c r="J348" s="215">
        <v>30.5</v>
      </c>
      <c r="P348" s="221">
        <v>100</v>
      </c>
    </row>
    <row r="349" spans="1:16">
      <c r="A349" s="205">
        <f>(SUM(A348,1))</f>
        <v>285</v>
      </c>
      <c r="B349" s="230" t="s">
        <v>2250</v>
      </c>
      <c r="C349" s="222" t="s">
        <v>450</v>
      </c>
      <c r="D349" s="221">
        <v>44</v>
      </c>
      <c r="E349" s="218">
        <f>ROUND($I$1*I349,1)</f>
        <v>17.2</v>
      </c>
      <c r="F349" s="217">
        <f>PRODUCT(D349,E349)</f>
        <v>756.8</v>
      </c>
      <c r="G349" s="218">
        <f>ROUND($J$1*J349,1)</f>
        <v>24.6</v>
      </c>
      <c r="H349" s="217">
        <f>PRODUCT(D349,G349)</f>
        <v>1082.4000000000001</v>
      </c>
      <c r="I349" s="216">
        <v>8.1999999999999993</v>
      </c>
      <c r="J349" s="215">
        <v>4.6500000000000004</v>
      </c>
      <c r="P349" s="221">
        <v>110</v>
      </c>
    </row>
    <row r="350" spans="1:16">
      <c r="A350" s="205">
        <f>(SUM(A349,1))</f>
        <v>286</v>
      </c>
      <c r="B350" s="230" t="s">
        <v>2214</v>
      </c>
      <c r="C350" s="222" t="s">
        <v>450</v>
      </c>
      <c r="D350" s="221">
        <v>60</v>
      </c>
      <c r="E350" s="218">
        <f>ROUND($I$1*I350,1)</f>
        <v>16.2</v>
      </c>
      <c r="F350" s="217">
        <f>PRODUCT(D350,E350)</f>
        <v>972</v>
      </c>
      <c r="G350" s="218">
        <f>ROUND($J$1*J350,1)</f>
        <v>51.4</v>
      </c>
      <c r="H350" s="217">
        <f>PRODUCT(D350,G350)</f>
        <v>3084</v>
      </c>
      <c r="I350" s="216">
        <v>7.7</v>
      </c>
      <c r="J350" s="215">
        <v>9.6999999999999993</v>
      </c>
      <c r="P350" s="221">
        <v>150</v>
      </c>
    </row>
    <row r="351" spans="1:16">
      <c r="A351" s="205">
        <f>(SUM(A350,1))</f>
        <v>287</v>
      </c>
      <c r="B351" s="230" t="s">
        <v>2213</v>
      </c>
      <c r="C351" s="222" t="s">
        <v>450</v>
      </c>
      <c r="D351" s="221">
        <v>40</v>
      </c>
      <c r="E351" s="218">
        <f>ROUND($I$1*I351,1)</f>
        <v>36.5</v>
      </c>
      <c r="F351" s="217">
        <f>PRODUCT(D351,E351)</f>
        <v>1460</v>
      </c>
      <c r="G351" s="218">
        <f>ROUND($J$1*J351,1)</f>
        <v>54.6</v>
      </c>
      <c r="H351" s="217">
        <f>PRODUCT(D351,G351)</f>
        <v>2184</v>
      </c>
      <c r="I351" s="216">
        <v>17.399999999999999</v>
      </c>
      <c r="J351" s="215">
        <v>10.3</v>
      </c>
      <c r="P351" s="221">
        <v>100</v>
      </c>
    </row>
    <row r="352" spans="1:16">
      <c r="A352" s="205">
        <f>(SUM(A351,1))</f>
        <v>288</v>
      </c>
      <c r="B352" s="230" t="s">
        <v>2249</v>
      </c>
      <c r="C352" s="222" t="s">
        <v>450</v>
      </c>
      <c r="D352" s="221">
        <v>2</v>
      </c>
      <c r="E352" s="218">
        <f>ROUND($I$1*I352,1)</f>
        <v>219.9</v>
      </c>
      <c r="F352" s="217">
        <f>PRODUCT(D352,E352)</f>
        <v>439.8</v>
      </c>
      <c r="G352" s="218">
        <f>ROUND($J$1*J352,1)</f>
        <v>113.4</v>
      </c>
      <c r="H352" s="217">
        <f>PRODUCT(D352,G352)</f>
        <v>226.8</v>
      </c>
      <c r="I352" s="216">
        <v>104.7</v>
      </c>
      <c r="J352" s="215">
        <v>21.4</v>
      </c>
      <c r="P352" s="221">
        <v>4</v>
      </c>
    </row>
    <row r="353" spans="1:16">
      <c r="A353" s="205">
        <f>(SUM(A352,1))</f>
        <v>289</v>
      </c>
      <c r="B353" s="223" t="s">
        <v>2218</v>
      </c>
      <c r="C353" s="222" t="s">
        <v>193</v>
      </c>
      <c r="D353" s="221">
        <v>250</v>
      </c>
      <c r="E353" s="218">
        <f>ROUND($I$1*I353,1)</f>
        <v>15.8</v>
      </c>
      <c r="F353" s="217">
        <f>PRODUCT(D353,E353)</f>
        <v>3950</v>
      </c>
      <c r="G353" s="218">
        <f>ROUND($J$1*J353,1)</f>
        <v>22.3</v>
      </c>
      <c r="H353" s="217">
        <f>PRODUCT(D353,G353)</f>
        <v>5575</v>
      </c>
      <c r="I353" s="215">
        <v>7.5</v>
      </c>
      <c r="J353" s="215">
        <v>4.2</v>
      </c>
      <c r="P353" s="221">
        <v>600</v>
      </c>
    </row>
    <row r="354" spans="1:16">
      <c r="A354" s="205">
        <f>(SUM(A353,1))</f>
        <v>290</v>
      </c>
      <c r="B354" s="223" t="s">
        <v>2217</v>
      </c>
      <c r="C354" s="222" t="s">
        <v>193</v>
      </c>
      <c r="D354" s="221">
        <v>250</v>
      </c>
      <c r="E354" s="218">
        <f>ROUND($I$1*I354,1)</f>
        <v>17.899999999999999</v>
      </c>
      <c r="F354" s="217">
        <f>PRODUCT(D354,E354)</f>
        <v>4475</v>
      </c>
      <c r="G354" s="218">
        <f>ROUND($J$1*J354,1)</f>
        <v>22.3</v>
      </c>
      <c r="H354" s="217">
        <f>PRODUCT(D354,G354)</f>
        <v>5575</v>
      </c>
      <c r="I354" s="215">
        <v>8.5</v>
      </c>
      <c r="J354" s="215">
        <v>4.2</v>
      </c>
      <c r="P354" s="221">
        <v>600</v>
      </c>
    </row>
    <row r="355" spans="1:16">
      <c r="A355" s="205">
        <f>(SUM(A354,1))</f>
        <v>291</v>
      </c>
      <c r="B355" s="223" t="s">
        <v>2225</v>
      </c>
      <c r="C355" s="222" t="s">
        <v>193</v>
      </c>
      <c r="D355" s="221">
        <v>170</v>
      </c>
      <c r="E355" s="218">
        <f>ROUND($I$1*I355,1)</f>
        <v>21</v>
      </c>
      <c r="F355" s="217">
        <f>PRODUCT(D355,E355)</f>
        <v>3570</v>
      </c>
      <c r="G355" s="218">
        <f>ROUND($J$1*J355,1)</f>
        <v>22.3</v>
      </c>
      <c r="H355" s="217">
        <f>PRODUCT(D355,G355)</f>
        <v>3791</v>
      </c>
      <c r="I355" s="215">
        <v>10</v>
      </c>
      <c r="J355" s="215">
        <v>4.2</v>
      </c>
      <c r="P355" s="221">
        <v>400</v>
      </c>
    </row>
    <row r="356" spans="1:16">
      <c r="A356" s="205">
        <f>(SUM(A355,1))</f>
        <v>292</v>
      </c>
      <c r="B356" s="223" t="s">
        <v>2248</v>
      </c>
      <c r="C356" s="222" t="s">
        <v>193</v>
      </c>
      <c r="D356" s="221">
        <v>120</v>
      </c>
      <c r="E356" s="218">
        <f>ROUND($I$1*I356,1)</f>
        <v>25.2</v>
      </c>
      <c r="F356" s="217">
        <f>PRODUCT(D356,E356)</f>
        <v>3024</v>
      </c>
      <c r="G356" s="218">
        <f>ROUND($J$1*J356,1)</f>
        <v>21.7</v>
      </c>
      <c r="H356" s="217">
        <f>PRODUCT(D356,G356)</f>
        <v>2604</v>
      </c>
      <c r="I356" s="215">
        <v>12</v>
      </c>
      <c r="J356" s="215">
        <v>4.0999999999999996</v>
      </c>
      <c r="P356" s="221">
        <v>300</v>
      </c>
    </row>
    <row r="357" spans="1:16">
      <c r="A357" s="205">
        <f>(SUM(A356,1))</f>
        <v>293</v>
      </c>
      <c r="B357" s="223" t="s">
        <v>2247</v>
      </c>
      <c r="C357" s="222" t="s">
        <v>193</v>
      </c>
      <c r="D357" s="221">
        <v>55</v>
      </c>
      <c r="E357" s="218">
        <f>ROUND(I357*$I$1,1)</f>
        <v>8.4</v>
      </c>
      <c r="F357" s="217">
        <f>PRODUCT(D357,E357)</f>
        <v>462</v>
      </c>
      <c r="G357" s="218">
        <f>ROUND(J357*$J$1,1)</f>
        <v>21.7</v>
      </c>
      <c r="H357" s="217">
        <f>PRODUCT(D357,G357)</f>
        <v>1193.5</v>
      </c>
      <c r="I357" s="215">
        <v>4</v>
      </c>
      <c r="J357" s="215">
        <v>4.0999999999999996</v>
      </c>
      <c r="P357" s="221">
        <v>110</v>
      </c>
    </row>
    <row r="358" spans="1:16">
      <c r="A358" s="205">
        <f>(SUM(A357,1))</f>
        <v>294</v>
      </c>
      <c r="B358" s="223" t="s">
        <v>2246</v>
      </c>
      <c r="C358" s="222" t="s">
        <v>450</v>
      </c>
      <c r="D358" s="221">
        <v>1</v>
      </c>
      <c r="E358" s="218">
        <f>ROUND($I$1*I358,1)</f>
        <v>2100</v>
      </c>
      <c r="F358" s="217">
        <f>PRODUCT(D358,E358)</f>
        <v>2100</v>
      </c>
      <c r="G358" s="218">
        <f>ROUND($J$1*J358,1)</f>
        <v>185.5</v>
      </c>
      <c r="H358" s="217">
        <f>PRODUCT(D358,G358)</f>
        <v>185.5</v>
      </c>
      <c r="I358" s="216">
        <v>1000</v>
      </c>
      <c r="J358" s="215">
        <v>35</v>
      </c>
      <c r="P358" s="221">
        <v>2</v>
      </c>
    </row>
    <row r="359" spans="1:16">
      <c r="A359" s="205">
        <f>(SUM(A358,1))</f>
        <v>295</v>
      </c>
      <c r="B359" s="224" t="s">
        <v>2245</v>
      </c>
      <c r="C359" s="219" t="s">
        <v>1247</v>
      </c>
      <c r="D359" s="214">
        <v>40</v>
      </c>
      <c r="E359" s="218">
        <f>ROUND($I$1*I359,1)</f>
        <v>0</v>
      </c>
      <c r="F359" s="217">
        <f>PRODUCT(D359,E359)</f>
        <v>0</v>
      </c>
      <c r="G359" s="218">
        <f>ROUND($J$1*J359,1)</f>
        <v>600</v>
      </c>
      <c r="H359" s="217">
        <f>PRODUCT(D359,G359)</f>
        <v>24000</v>
      </c>
      <c r="I359" s="216">
        <v>0</v>
      </c>
      <c r="J359" s="215">
        <f>600/$J$1</f>
        <v>113.20754716981132</v>
      </c>
      <c r="P359" s="214">
        <v>80</v>
      </c>
    </row>
    <row r="360" spans="1:16">
      <c r="A360" s="205">
        <f>(SUM(A359,1))</f>
        <v>296</v>
      </c>
      <c r="B360" s="223" t="s">
        <v>2244</v>
      </c>
      <c r="C360" s="222" t="s">
        <v>964</v>
      </c>
      <c r="D360" s="221">
        <v>100</v>
      </c>
      <c r="E360" s="218">
        <f>ROUND($I$1*I360,1)</f>
        <v>23.9</v>
      </c>
      <c r="F360" s="217">
        <f>PRODUCT(D360,E360)</f>
        <v>2390</v>
      </c>
      <c r="G360" s="218">
        <f>ROUND($J$1*J360,1)</f>
        <v>0</v>
      </c>
      <c r="H360" s="217">
        <f>PRODUCT(D360,G360)</f>
        <v>0</v>
      </c>
      <c r="I360" s="215">
        <v>11.4</v>
      </c>
      <c r="J360" s="215">
        <v>0</v>
      </c>
      <c r="P360" s="221">
        <v>240</v>
      </c>
    </row>
    <row r="361" spans="1:16">
      <c r="A361" s="201">
        <f>(SUM(A360,1))</f>
        <v>297</v>
      </c>
      <c r="B361" s="198"/>
      <c r="C361" s="200"/>
      <c r="D361" s="200"/>
      <c r="E361" s="200"/>
      <c r="F361" s="199">
        <f>SUM(F307:F360)</f>
        <v>851976.90000000014</v>
      </c>
      <c r="G361" s="198"/>
      <c r="H361" s="199">
        <f>SUM(H307:H360)</f>
        <v>223631.69999999998</v>
      </c>
    </row>
    <row r="362" spans="1:16">
      <c r="A362" s="196">
        <f>(SUM(A361,1))</f>
        <v>298</v>
      </c>
      <c r="B362" s="195" t="s">
        <v>2176</v>
      </c>
      <c r="C362" s="192"/>
      <c r="D362" s="194">
        <v>3</v>
      </c>
      <c r="E362" s="192" t="s">
        <v>565</v>
      </c>
      <c r="F362" s="213">
        <f>ROUND(F361*D362*0.01,1)</f>
        <v>25559.3</v>
      </c>
      <c r="G362" s="192"/>
      <c r="H362" s="191"/>
    </row>
    <row r="363" spans="1:16">
      <c r="A363" s="196">
        <f>(SUM(A362,1))</f>
        <v>299</v>
      </c>
      <c r="B363" s="195" t="s">
        <v>2243</v>
      </c>
      <c r="C363" s="192"/>
      <c r="D363" s="194">
        <v>6</v>
      </c>
      <c r="E363" s="192" t="s">
        <v>565</v>
      </c>
      <c r="F363" s="193"/>
      <c r="G363" s="192"/>
      <c r="H363" s="213">
        <f>ROUND(H361*D363*0.01,1)</f>
        <v>13417.9</v>
      </c>
    </row>
    <row r="364" spans="1:16">
      <c r="A364" s="190">
        <f>(SUM(A363,1))</f>
        <v>300</v>
      </c>
      <c r="B364" s="189" t="s">
        <v>2168</v>
      </c>
      <c r="C364" s="188"/>
      <c r="D364" s="188"/>
      <c r="E364" s="188"/>
      <c r="F364" s="187">
        <f>SUM(F361:F363)</f>
        <v>877536.20000000019</v>
      </c>
      <c r="G364" s="212"/>
      <c r="H364" s="187">
        <f>SUM(H361:H363)</f>
        <v>237049.59999999998</v>
      </c>
    </row>
    <row r="365" spans="1:16">
      <c r="A365" s="178"/>
      <c r="B365" s="229"/>
      <c r="C365" s="192"/>
      <c r="D365" s="192"/>
      <c r="E365" s="192"/>
      <c r="F365" s="228"/>
      <c r="G365" s="192"/>
      <c r="H365" s="228"/>
    </row>
    <row r="366" spans="1:16">
      <c r="A366" s="178"/>
      <c r="B366" s="229"/>
      <c r="C366" s="192"/>
      <c r="D366" s="192"/>
      <c r="E366" s="192"/>
      <c r="F366" s="228"/>
      <c r="G366" s="192"/>
      <c r="H366" s="228"/>
    </row>
    <row r="367" spans="1:16">
      <c r="B367" s="229"/>
      <c r="C367" s="192"/>
      <c r="D367" s="192"/>
      <c r="E367" s="192"/>
      <c r="F367" s="228"/>
      <c r="G367" s="192"/>
      <c r="H367" s="228"/>
    </row>
    <row r="368" spans="1:16">
      <c r="B368" s="233" t="s">
        <v>2242</v>
      </c>
      <c r="C368" s="210"/>
      <c r="D368" s="210"/>
      <c r="E368" s="299" t="s">
        <v>2173</v>
      </c>
      <c r="F368" s="299"/>
      <c r="G368" s="299" t="s">
        <v>2172</v>
      </c>
      <c r="H368" s="299"/>
    </row>
    <row r="369" spans="1:16">
      <c r="A369" s="209" t="s">
        <v>2171</v>
      </c>
      <c r="B369" s="226" t="s">
        <v>2170</v>
      </c>
      <c r="C369" s="207" t="s">
        <v>2185</v>
      </c>
      <c r="D369" s="206" t="s">
        <v>2184</v>
      </c>
      <c r="E369" s="207" t="s">
        <v>2183</v>
      </c>
      <c r="F369" s="206" t="s">
        <v>2169</v>
      </c>
      <c r="G369" s="207" t="s">
        <v>2183</v>
      </c>
      <c r="H369" s="206" t="s">
        <v>2169</v>
      </c>
    </row>
    <row r="370" spans="1:16" ht="41.25">
      <c r="A370" s="205">
        <f>(SUM(A364,1))</f>
        <v>301</v>
      </c>
      <c r="B370" s="239" t="s">
        <v>2241</v>
      </c>
      <c r="C370" s="238" t="s">
        <v>450</v>
      </c>
      <c r="D370" s="221">
        <v>17</v>
      </c>
      <c r="E370" s="218">
        <f>ROUND($I$1*I370,1)</f>
        <v>5250</v>
      </c>
      <c r="F370" s="217">
        <f>PRODUCT(D370,E370)</f>
        <v>89250</v>
      </c>
      <c r="G370" s="218">
        <f>ROUND($J$1*J370,1)</f>
        <v>636</v>
      </c>
      <c r="H370" s="217">
        <f>PRODUCT(D370,G370)</f>
        <v>10812</v>
      </c>
      <c r="I370" s="216">
        <f>2500</f>
        <v>2500</v>
      </c>
      <c r="J370" s="215">
        <v>120</v>
      </c>
      <c r="P370" s="221">
        <v>39</v>
      </c>
    </row>
    <row r="371" spans="1:16" ht="66">
      <c r="A371" s="205">
        <f>(SUM(A370,1))</f>
        <v>302</v>
      </c>
      <c r="B371" s="239" t="s">
        <v>2240</v>
      </c>
      <c r="C371" s="219" t="s">
        <v>450</v>
      </c>
      <c r="D371" s="221">
        <v>1</v>
      </c>
      <c r="E371" s="218">
        <f>ROUND($I$1*I371,1)</f>
        <v>40950</v>
      </c>
      <c r="F371" s="217">
        <f>PRODUCT(D371,E371)</f>
        <v>40950</v>
      </c>
      <c r="G371" s="218">
        <f>ROUND($J$1*J371,1)</f>
        <v>26.5</v>
      </c>
      <c r="H371" s="217">
        <f>PRODUCT(D371,G371)</f>
        <v>26.5</v>
      </c>
      <c r="I371" s="216">
        <v>19500</v>
      </c>
      <c r="J371" s="215">
        <v>5</v>
      </c>
      <c r="P371" s="221">
        <v>2</v>
      </c>
    </row>
    <row r="372" spans="1:16" ht="33">
      <c r="A372" s="205">
        <f>(SUM(A371,1))</f>
        <v>303</v>
      </c>
      <c r="B372" s="239" t="s">
        <v>2239</v>
      </c>
      <c r="C372" s="222" t="s">
        <v>450</v>
      </c>
      <c r="D372" s="221">
        <v>6</v>
      </c>
      <c r="E372" s="218">
        <f>ROUND($I$1*I372,1)</f>
        <v>3570</v>
      </c>
      <c r="F372" s="217">
        <f>PRODUCT(D372,E372)</f>
        <v>21420</v>
      </c>
      <c r="G372" s="218">
        <f>ROUND($J$1*J372,1)</f>
        <v>848</v>
      </c>
      <c r="H372" s="217">
        <f>PRODUCT(D372,G372)</f>
        <v>5088</v>
      </c>
      <c r="I372" s="216">
        <v>1700</v>
      </c>
      <c r="J372" s="215">
        <v>160</v>
      </c>
      <c r="P372" s="221">
        <v>18</v>
      </c>
    </row>
    <row r="373" spans="1:16">
      <c r="A373" s="205">
        <f>(SUM(A372,1))</f>
        <v>304</v>
      </c>
      <c r="B373" s="230" t="s">
        <v>2238</v>
      </c>
      <c r="C373" s="222" t="s">
        <v>450</v>
      </c>
      <c r="D373" s="221">
        <v>6</v>
      </c>
      <c r="E373" s="218">
        <f>ROUND($I$1*I373,1)</f>
        <v>3150</v>
      </c>
      <c r="F373" s="217">
        <f>PRODUCT(D373,E373)</f>
        <v>18900</v>
      </c>
      <c r="G373" s="218">
        <f>ROUND($J$1*J373,1)</f>
        <v>26.5</v>
      </c>
      <c r="H373" s="217">
        <f>PRODUCT(D373,G373)</f>
        <v>159</v>
      </c>
      <c r="I373" s="216">
        <v>1500</v>
      </c>
      <c r="J373" s="215">
        <v>5</v>
      </c>
      <c r="P373" s="221">
        <v>18</v>
      </c>
    </row>
    <row r="374" spans="1:16">
      <c r="A374" s="205">
        <f>(SUM(A373,1))</f>
        <v>305</v>
      </c>
      <c r="B374" s="223" t="s">
        <v>2237</v>
      </c>
      <c r="C374" s="222" t="s">
        <v>450</v>
      </c>
      <c r="D374" s="221">
        <v>8</v>
      </c>
      <c r="E374" s="218">
        <f>ROUND($I$1*I374,1)</f>
        <v>630</v>
      </c>
      <c r="F374" s="217">
        <f>PRODUCT(D374,E374)</f>
        <v>5040</v>
      </c>
      <c r="G374" s="218">
        <f>ROUND($J$1*J374,1)</f>
        <v>106</v>
      </c>
      <c r="H374" s="217">
        <f>PRODUCT(D374,G374)</f>
        <v>848</v>
      </c>
      <c r="I374" s="215">
        <v>300</v>
      </c>
      <c r="J374" s="215">
        <v>20</v>
      </c>
      <c r="P374" s="221">
        <v>18</v>
      </c>
    </row>
    <row r="375" spans="1:16">
      <c r="A375" s="205">
        <f>(SUM(A374,1))</f>
        <v>306</v>
      </c>
      <c r="B375" s="223" t="s">
        <v>2236</v>
      </c>
      <c r="C375" s="222" t="s">
        <v>450</v>
      </c>
      <c r="D375" s="221">
        <v>4</v>
      </c>
      <c r="E375" s="218">
        <f>ROUND($I$1*I375,1)</f>
        <v>798</v>
      </c>
      <c r="F375" s="217">
        <f>PRODUCT(D375,E375)</f>
        <v>3192</v>
      </c>
      <c r="G375" s="218">
        <f>ROUND($J$1*J375,1)</f>
        <v>106</v>
      </c>
      <c r="H375" s="217">
        <f>PRODUCT(D375,G375)</f>
        <v>424</v>
      </c>
      <c r="I375" s="215">
        <v>380</v>
      </c>
      <c r="J375" s="215">
        <v>20</v>
      </c>
      <c r="P375" s="221">
        <v>8</v>
      </c>
    </row>
    <row r="376" spans="1:16">
      <c r="A376" s="205">
        <f>(SUM(A375,1))</f>
        <v>307</v>
      </c>
      <c r="B376" s="223" t="s">
        <v>2235</v>
      </c>
      <c r="C376" s="222" t="s">
        <v>450</v>
      </c>
      <c r="D376" s="221">
        <v>3</v>
      </c>
      <c r="E376" s="218">
        <f>ROUND($I$1*I376,1)</f>
        <v>735</v>
      </c>
      <c r="F376" s="217">
        <f>PRODUCT(D376,E376)</f>
        <v>2205</v>
      </c>
      <c r="G376" s="218">
        <f>ROUND($J$1*J376,1)</f>
        <v>106</v>
      </c>
      <c r="H376" s="217">
        <f>PRODUCT(D376,G376)</f>
        <v>318</v>
      </c>
      <c r="I376" s="216">
        <v>350</v>
      </c>
      <c r="J376" s="215">
        <v>20</v>
      </c>
      <c r="P376" s="221">
        <v>7</v>
      </c>
    </row>
    <row r="377" spans="1:16">
      <c r="A377" s="205">
        <f>(SUM(A376,1))</f>
        <v>308</v>
      </c>
      <c r="B377" s="223" t="s">
        <v>2234</v>
      </c>
      <c r="C377" s="222" t="s">
        <v>450</v>
      </c>
      <c r="D377" s="221">
        <v>17</v>
      </c>
      <c r="E377" s="218">
        <f>ROUND($I$1*I377,1)</f>
        <v>819</v>
      </c>
      <c r="F377" s="217">
        <f>PRODUCT(D377,E377)</f>
        <v>13923</v>
      </c>
      <c r="G377" s="218">
        <f>ROUND($J$1*J377,1)</f>
        <v>106</v>
      </c>
      <c r="H377" s="217">
        <f>PRODUCT(D377,G377)</f>
        <v>1802</v>
      </c>
      <c r="I377" s="216">
        <v>390</v>
      </c>
      <c r="J377" s="215">
        <v>20</v>
      </c>
      <c r="P377" s="221">
        <v>39</v>
      </c>
    </row>
    <row r="378" spans="1:16">
      <c r="A378" s="205">
        <f>(SUM(A377,1))</f>
        <v>309</v>
      </c>
      <c r="B378" s="223" t="s">
        <v>2233</v>
      </c>
      <c r="C378" s="222" t="s">
        <v>450</v>
      </c>
      <c r="D378" s="221">
        <v>2</v>
      </c>
      <c r="E378" s="218">
        <f>ROUND($I$1*I378,1)</f>
        <v>3780</v>
      </c>
      <c r="F378" s="217">
        <f>PRODUCT(D378,E378)</f>
        <v>7560</v>
      </c>
      <c r="G378" s="218">
        <f>ROUND($J$1*J378,1)</f>
        <v>636</v>
      </c>
      <c r="H378" s="217">
        <f>PRODUCT(D378,G378)</f>
        <v>1272</v>
      </c>
      <c r="I378" s="216">
        <v>1800</v>
      </c>
      <c r="J378" s="215">
        <v>120</v>
      </c>
      <c r="P378" s="221">
        <v>4</v>
      </c>
    </row>
    <row r="379" spans="1:16">
      <c r="A379" s="205">
        <f>(SUM(A378,1))</f>
        <v>310</v>
      </c>
      <c r="B379" s="223" t="s">
        <v>2232</v>
      </c>
      <c r="C379" s="222" t="s">
        <v>450</v>
      </c>
      <c r="D379" s="221">
        <v>4</v>
      </c>
      <c r="E379" s="218">
        <f>ROUND($I$1*I379,1)</f>
        <v>8400</v>
      </c>
      <c r="F379" s="217">
        <f>PRODUCT(D379,E379)</f>
        <v>33600</v>
      </c>
      <c r="G379" s="218">
        <f>ROUND($J$1*J379,1)</f>
        <v>901</v>
      </c>
      <c r="H379" s="217">
        <f>PRODUCT(D379,G379)</f>
        <v>3604</v>
      </c>
      <c r="I379" s="216">
        <v>4000</v>
      </c>
      <c r="J379" s="215">
        <v>170</v>
      </c>
      <c r="P379" s="221">
        <v>8</v>
      </c>
    </row>
    <row r="380" spans="1:16">
      <c r="A380" s="205">
        <f>(SUM(A379,1))</f>
        <v>311</v>
      </c>
      <c r="B380" s="223" t="s">
        <v>2231</v>
      </c>
      <c r="C380" s="222" t="s">
        <v>450</v>
      </c>
      <c r="D380" s="221">
        <v>1</v>
      </c>
      <c r="E380" s="218">
        <f>ROUND($I$1*I380,1)</f>
        <v>588</v>
      </c>
      <c r="F380" s="217">
        <f>PRODUCT(D380,E380)</f>
        <v>588</v>
      </c>
      <c r="G380" s="218">
        <f>ROUND($J$1*J380,1)</f>
        <v>636</v>
      </c>
      <c r="H380" s="217">
        <f>PRODUCT(D380,G380)</f>
        <v>636</v>
      </c>
      <c r="I380" s="216">
        <v>280</v>
      </c>
      <c r="J380" s="215">
        <v>120</v>
      </c>
      <c r="P380" s="221">
        <v>2</v>
      </c>
    </row>
    <row r="381" spans="1:16">
      <c r="A381" s="205">
        <f>(SUM(A380,1))</f>
        <v>312</v>
      </c>
      <c r="B381" s="223" t="s">
        <v>2230</v>
      </c>
      <c r="C381" s="222" t="s">
        <v>450</v>
      </c>
      <c r="D381" s="221">
        <v>1</v>
      </c>
      <c r="E381" s="218">
        <f>ROUND($I$1*I381,1)</f>
        <v>861</v>
      </c>
      <c r="F381" s="217">
        <f>PRODUCT(D381,E381)</f>
        <v>861</v>
      </c>
      <c r="G381" s="218">
        <f>ROUND($J$1*J381,1)</f>
        <v>636</v>
      </c>
      <c r="H381" s="217">
        <f>PRODUCT(D381,G381)</f>
        <v>636</v>
      </c>
      <c r="I381" s="216">
        <v>410</v>
      </c>
      <c r="J381" s="215">
        <v>120</v>
      </c>
      <c r="P381" s="221">
        <v>2</v>
      </c>
    </row>
    <row r="382" spans="1:16">
      <c r="A382" s="205">
        <f>(SUM(A381,1))</f>
        <v>313</v>
      </c>
      <c r="B382" s="223" t="s">
        <v>2229</v>
      </c>
      <c r="C382" s="222" t="s">
        <v>450</v>
      </c>
      <c r="D382" s="221">
        <v>4</v>
      </c>
      <c r="E382" s="218">
        <f>ROUND($I$1*I382,1)</f>
        <v>5250</v>
      </c>
      <c r="F382" s="217">
        <f>PRODUCT(D382,E382)</f>
        <v>21000</v>
      </c>
      <c r="G382" s="218">
        <f>ROUND($J$1*J382,1)</f>
        <v>26.5</v>
      </c>
      <c r="H382" s="217">
        <f>PRODUCT(D382,G382)</f>
        <v>106</v>
      </c>
      <c r="I382" s="216">
        <v>2500</v>
      </c>
      <c r="J382" s="215">
        <v>5</v>
      </c>
      <c r="P382" s="221">
        <v>8</v>
      </c>
    </row>
    <row r="383" spans="1:16" ht="24.75">
      <c r="A383" s="205">
        <f>(SUM(A382,1))</f>
        <v>314</v>
      </c>
      <c r="B383" s="232" t="s">
        <v>2228</v>
      </c>
      <c r="C383" s="222" t="s">
        <v>2177</v>
      </c>
      <c r="D383" s="221">
        <v>1</v>
      </c>
      <c r="E383" s="218">
        <f>ROUND($I$1*I383,1)</f>
        <v>84000</v>
      </c>
      <c r="F383" s="217">
        <f>PRODUCT(D383,E383)</f>
        <v>84000</v>
      </c>
      <c r="G383" s="218">
        <f>ROUND($J$1*J383,1)</f>
        <v>15900</v>
      </c>
      <c r="H383" s="217">
        <f>PRODUCT(D383,G383)</f>
        <v>15900</v>
      </c>
      <c r="I383" s="216">
        <v>40000</v>
      </c>
      <c r="J383" s="215">
        <v>3000</v>
      </c>
      <c r="P383" s="221">
        <v>2</v>
      </c>
    </row>
    <row r="384" spans="1:16" ht="16.5">
      <c r="A384" s="205">
        <f>(SUM(A383,1))</f>
        <v>315</v>
      </c>
      <c r="B384" s="232" t="s">
        <v>2227</v>
      </c>
      <c r="C384" s="222" t="s">
        <v>2177</v>
      </c>
      <c r="D384" s="221">
        <v>1</v>
      </c>
      <c r="E384" s="218">
        <f>ROUND($I$1*I384,1)</f>
        <v>0</v>
      </c>
      <c r="F384" s="217">
        <f>PRODUCT(D384,E384)</f>
        <v>0</v>
      </c>
      <c r="G384" s="218">
        <f>ROUND($J$1*J384,1)</f>
        <v>37100</v>
      </c>
      <c r="H384" s="217">
        <f>PRODUCT(D384,G384)</f>
        <v>37100</v>
      </c>
      <c r="I384" s="216">
        <v>0</v>
      </c>
      <c r="J384" s="215">
        <v>7000</v>
      </c>
      <c r="P384" s="221">
        <v>2</v>
      </c>
    </row>
    <row r="385" spans="1:16">
      <c r="A385" s="205">
        <f>(SUM(A384,1))</f>
        <v>316</v>
      </c>
      <c r="B385" s="230" t="s">
        <v>2226</v>
      </c>
      <c r="C385" s="222" t="s">
        <v>193</v>
      </c>
      <c r="D385" s="221">
        <v>2000</v>
      </c>
      <c r="E385" s="218">
        <f>ROUND($I$1*I385,1)</f>
        <v>23.1</v>
      </c>
      <c r="F385" s="217">
        <f>PRODUCT(D385,E385)</f>
        <v>46200</v>
      </c>
      <c r="G385" s="218">
        <f>ROUND($J$1*J385,1)</f>
        <v>14.8</v>
      </c>
      <c r="H385" s="217">
        <f>PRODUCT(D385,G385)</f>
        <v>29600</v>
      </c>
      <c r="I385" s="216">
        <v>11</v>
      </c>
      <c r="J385" s="215">
        <v>2.8</v>
      </c>
      <c r="P385" s="221">
        <v>4400</v>
      </c>
    </row>
    <row r="386" spans="1:16">
      <c r="A386" s="205">
        <f>(SUM(A385,1))</f>
        <v>317</v>
      </c>
      <c r="B386" s="230" t="s">
        <v>2215</v>
      </c>
      <c r="C386" s="222" t="s">
        <v>450</v>
      </c>
      <c r="D386" s="221">
        <v>90</v>
      </c>
      <c r="E386" s="218">
        <f>ROUND($I$1*I386,1)</f>
        <v>17.2</v>
      </c>
      <c r="F386" s="217">
        <f>PRODUCT(D386,E386)</f>
        <v>1548</v>
      </c>
      <c r="G386" s="218">
        <f>ROUND($J$1*J386,1)</f>
        <v>24.6</v>
      </c>
      <c r="H386" s="217">
        <f>PRODUCT(D386,G386)</f>
        <v>2214</v>
      </c>
      <c r="I386" s="216">
        <v>8.1999999999999993</v>
      </c>
      <c r="J386" s="215">
        <v>4.6500000000000004</v>
      </c>
      <c r="P386" s="221">
        <v>220</v>
      </c>
    </row>
    <row r="387" spans="1:16">
      <c r="A387" s="205">
        <f>(SUM(A386,1))</f>
        <v>318</v>
      </c>
      <c r="B387" s="230" t="s">
        <v>2214</v>
      </c>
      <c r="C387" s="222" t="s">
        <v>450</v>
      </c>
      <c r="D387" s="221">
        <v>80</v>
      </c>
      <c r="E387" s="218">
        <f>ROUND($I$1*I387,1)</f>
        <v>16.2</v>
      </c>
      <c r="F387" s="217">
        <f>PRODUCT(D387,E387)</f>
        <v>1296</v>
      </c>
      <c r="G387" s="218">
        <f>ROUND($J$1*J387,1)</f>
        <v>26</v>
      </c>
      <c r="H387" s="217">
        <f>PRODUCT(D387,G387)</f>
        <v>2080</v>
      </c>
      <c r="I387" s="216">
        <v>7.7</v>
      </c>
      <c r="J387" s="215">
        <v>4.9000000000000004</v>
      </c>
      <c r="P387" s="221">
        <v>200</v>
      </c>
    </row>
    <row r="388" spans="1:16">
      <c r="A388" s="205">
        <f>(SUM(A387,1))</f>
        <v>319</v>
      </c>
      <c r="B388" s="230" t="s">
        <v>2213</v>
      </c>
      <c r="C388" s="222" t="s">
        <v>450</v>
      </c>
      <c r="D388" s="221">
        <v>40</v>
      </c>
      <c r="E388" s="218">
        <f>ROUND($I$1*I388,1)</f>
        <v>36.5</v>
      </c>
      <c r="F388" s="217">
        <f>PRODUCT(D388,E388)</f>
        <v>1460</v>
      </c>
      <c r="G388" s="218">
        <f>ROUND($J$1*J388,1)</f>
        <v>54.6</v>
      </c>
      <c r="H388" s="217">
        <f>PRODUCT(D388,G388)</f>
        <v>2184</v>
      </c>
      <c r="I388" s="216">
        <v>17.399999999999999</v>
      </c>
      <c r="J388" s="215">
        <v>10.3</v>
      </c>
      <c r="P388" s="221">
        <v>100</v>
      </c>
    </row>
    <row r="389" spans="1:16">
      <c r="A389" s="205">
        <f>(SUM(A388,1))</f>
        <v>320</v>
      </c>
      <c r="B389" s="223" t="s">
        <v>2218</v>
      </c>
      <c r="C389" s="222" t="s">
        <v>193</v>
      </c>
      <c r="D389" s="221">
        <v>400</v>
      </c>
      <c r="E389" s="218">
        <f>ROUND($I$1*I389,1)</f>
        <v>15.8</v>
      </c>
      <c r="F389" s="217">
        <f>PRODUCT(D389,E389)</f>
        <v>6320</v>
      </c>
      <c r="G389" s="218">
        <f>ROUND($J$1*J389,1)</f>
        <v>22.3</v>
      </c>
      <c r="H389" s="217">
        <f>PRODUCT(D389,G389)</f>
        <v>8920</v>
      </c>
      <c r="I389" s="215">
        <v>7.5</v>
      </c>
      <c r="J389" s="215">
        <v>4.2</v>
      </c>
      <c r="P389" s="221">
        <v>1000</v>
      </c>
    </row>
    <row r="390" spans="1:16">
      <c r="A390" s="205">
        <f>(SUM(A389,1))</f>
        <v>321</v>
      </c>
      <c r="B390" s="223" t="s">
        <v>2217</v>
      </c>
      <c r="C390" s="222" t="s">
        <v>193</v>
      </c>
      <c r="D390" s="221">
        <v>250</v>
      </c>
      <c r="E390" s="218">
        <f>ROUND($I$1*I390,1)</f>
        <v>17.899999999999999</v>
      </c>
      <c r="F390" s="217">
        <f>PRODUCT(D390,E390)</f>
        <v>4475</v>
      </c>
      <c r="G390" s="218">
        <f>ROUND($J$1*J390,1)</f>
        <v>22.3</v>
      </c>
      <c r="H390" s="217">
        <f>PRODUCT(D390,G390)</f>
        <v>5575</v>
      </c>
      <c r="I390" s="215">
        <v>8.5</v>
      </c>
      <c r="J390" s="215">
        <v>4.2</v>
      </c>
      <c r="P390" s="221">
        <v>600</v>
      </c>
    </row>
    <row r="391" spans="1:16">
      <c r="A391" s="205">
        <f>(SUM(A390,1))</f>
        <v>322</v>
      </c>
      <c r="B391" s="223" t="s">
        <v>2225</v>
      </c>
      <c r="C391" s="222" t="s">
        <v>193</v>
      </c>
      <c r="D391" s="221">
        <v>40</v>
      </c>
      <c r="E391" s="218">
        <f>ROUND($I$1*I391,1)</f>
        <v>21</v>
      </c>
      <c r="F391" s="217">
        <f>PRODUCT(D391,E391)</f>
        <v>840</v>
      </c>
      <c r="G391" s="218">
        <f>ROUND($J$1*J391,1)</f>
        <v>22.3</v>
      </c>
      <c r="H391" s="217">
        <f>PRODUCT(D391,G391)</f>
        <v>892</v>
      </c>
      <c r="I391" s="215">
        <v>10</v>
      </c>
      <c r="J391" s="215">
        <v>4.2</v>
      </c>
      <c r="P391" s="221">
        <v>100</v>
      </c>
    </row>
    <row r="392" spans="1:16">
      <c r="A392" s="205">
        <f>(SUM(A391,1))</f>
        <v>323</v>
      </c>
      <c r="B392" s="223" t="s">
        <v>2224</v>
      </c>
      <c r="C392" s="222" t="s">
        <v>193</v>
      </c>
      <c r="D392" s="221">
        <v>70</v>
      </c>
      <c r="E392" s="218">
        <f>ROUND($I$1*I392,1)</f>
        <v>516.6</v>
      </c>
      <c r="F392" s="217">
        <f>PRODUCT(D392,E392)</f>
        <v>36162</v>
      </c>
      <c r="G392" s="218">
        <f>ROUND($J$1*J392,1)</f>
        <v>177.6</v>
      </c>
      <c r="H392" s="217">
        <f>PRODUCT(D392,G392)</f>
        <v>12432</v>
      </c>
      <c r="I392" s="216">
        <f>164*1.5</f>
        <v>246</v>
      </c>
      <c r="J392" s="215">
        <v>33.5</v>
      </c>
      <c r="P392" s="221">
        <v>140</v>
      </c>
    </row>
    <row r="393" spans="1:16">
      <c r="A393" s="205">
        <f>(SUM(A392,1))</f>
        <v>324</v>
      </c>
      <c r="B393" s="223" t="s">
        <v>2216</v>
      </c>
      <c r="C393" s="222" t="s">
        <v>193</v>
      </c>
      <c r="D393" s="221">
        <v>50</v>
      </c>
      <c r="E393" s="218">
        <f>ROUND($I$1*I393,1)</f>
        <v>352.8</v>
      </c>
      <c r="F393" s="217">
        <f>PRODUCT(D393,E393)</f>
        <v>17640</v>
      </c>
      <c r="G393" s="218">
        <f>ROUND($J$1*J393,1)</f>
        <v>161.69999999999999</v>
      </c>
      <c r="H393" s="217">
        <f>PRODUCT(D393,G393)</f>
        <v>8084.9999999999991</v>
      </c>
      <c r="I393" s="216">
        <f>112*1.5</f>
        <v>168</v>
      </c>
      <c r="J393" s="215">
        <v>30.5</v>
      </c>
      <c r="P393" s="221">
        <v>100</v>
      </c>
    </row>
    <row r="394" spans="1:16">
      <c r="A394" s="205">
        <f>(SUM(A393,1))</f>
        <v>325</v>
      </c>
      <c r="B394" s="235" t="s">
        <v>2209</v>
      </c>
      <c r="C394" s="234" t="s">
        <v>964</v>
      </c>
      <c r="D394" s="221">
        <v>60</v>
      </c>
      <c r="E394" s="218">
        <f>ROUND($I$1*I394,1)</f>
        <v>22.1</v>
      </c>
      <c r="F394" s="217">
        <f>PRODUCT(D394,E394)</f>
        <v>1326</v>
      </c>
      <c r="G394" s="218">
        <f>ROUND($J$1*J394,1)</f>
        <v>0</v>
      </c>
      <c r="H394" s="217">
        <f>PRODUCT(D394,G394)</f>
        <v>0</v>
      </c>
      <c r="I394" s="216">
        <v>10.5</v>
      </c>
      <c r="J394" s="215">
        <v>0</v>
      </c>
      <c r="P394" s="221">
        <v>120</v>
      </c>
    </row>
    <row r="395" spans="1:16">
      <c r="A395" s="201">
        <f>(SUM(A394,1))</f>
        <v>326</v>
      </c>
      <c r="B395" s="198"/>
      <c r="C395" s="200"/>
      <c r="D395" s="200"/>
      <c r="E395" s="200"/>
      <c r="F395" s="199">
        <f>SUM(F370:F394)</f>
        <v>459756</v>
      </c>
      <c r="G395" s="198"/>
      <c r="H395" s="199">
        <f>SUM(H370:H394)</f>
        <v>150713.5</v>
      </c>
    </row>
    <row r="396" spans="1:16">
      <c r="A396" s="196">
        <f>(SUM(A395,1))</f>
        <v>327</v>
      </c>
      <c r="B396" s="195" t="s">
        <v>2176</v>
      </c>
      <c r="C396" s="192"/>
      <c r="D396" s="194">
        <v>3</v>
      </c>
      <c r="E396" s="192" t="s">
        <v>565</v>
      </c>
      <c r="F396" s="213">
        <f>ROUND(F395*D396*0.01,1)</f>
        <v>13792.7</v>
      </c>
      <c r="G396" s="192"/>
      <c r="H396" s="191"/>
    </row>
    <row r="397" spans="1:16">
      <c r="A397" s="196">
        <f>(SUM(A396,1))</f>
        <v>328</v>
      </c>
      <c r="B397" s="195" t="s">
        <v>2175</v>
      </c>
      <c r="C397" s="192"/>
      <c r="D397" s="194">
        <v>6</v>
      </c>
      <c r="E397" s="192" t="s">
        <v>565</v>
      </c>
      <c r="F397" s="193"/>
      <c r="G397" s="192"/>
      <c r="H397" s="213">
        <f>ROUND(H395*D397*0.01,1)</f>
        <v>9042.7999999999993</v>
      </c>
    </row>
    <row r="398" spans="1:16">
      <c r="A398" s="190">
        <f>(SUM(A397,1))</f>
        <v>329</v>
      </c>
      <c r="B398" s="189" t="s">
        <v>2168</v>
      </c>
      <c r="C398" s="188"/>
      <c r="D398" s="188"/>
      <c r="E398" s="188"/>
      <c r="F398" s="187">
        <f>SUM(F395:F397)</f>
        <v>473548.7</v>
      </c>
      <c r="G398" s="212"/>
      <c r="H398" s="187">
        <f>SUM(H395:H397)</f>
        <v>159756.29999999999</v>
      </c>
    </row>
    <row r="399" spans="1:16">
      <c r="A399" s="178"/>
      <c r="B399" s="229"/>
      <c r="C399" s="192"/>
      <c r="D399" s="192"/>
      <c r="E399" s="192"/>
      <c r="F399" s="228"/>
      <c r="G399" s="192"/>
      <c r="H399" s="228"/>
    </row>
    <row r="400" spans="1:16">
      <c r="A400" s="178"/>
      <c r="B400" s="229"/>
      <c r="C400" s="192"/>
      <c r="D400" s="192"/>
      <c r="E400" s="192"/>
      <c r="F400" s="228"/>
      <c r="G400" s="192"/>
      <c r="H400" s="228"/>
    </row>
    <row r="401" spans="1:16">
      <c r="A401" s="178"/>
      <c r="B401" s="229"/>
      <c r="C401" s="192"/>
      <c r="D401" s="192"/>
      <c r="E401" s="192"/>
      <c r="F401" s="228"/>
      <c r="G401" s="192"/>
      <c r="H401" s="228"/>
    </row>
    <row r="402" spans="1:16">
      <c r="B402" s="233" t="s">
        <v>2223</v>
      </c>
      <c r="C402" s="210"/>
      <c r="D402" s="210"/>
      <c r="E402" s="299" t="s">
        <v>2173</v>
      </c>
      <c r="F402" s="299"/>
      <c r="G402" s="299" t="s">
        <v>2172</v>
      </c>
      <c r="H402" s="299"/>
    </row>
    <row r="403" spans="1:16">
      <c r="A403" s="209" t="s">
        <v>2171</v>
      </c>
      <c r="B403" s="226" t="s">
        <v>2170</v>
      </c>
      <c r="C403" s="207" t="s">
        <v>2185</v>
      </c>
      <c r="D403" s="206" t="s">
        <v>2184</v>
      </c>
      <c r="E403" s="207" t="s">
        <v>2183</v>
      </c>
      <c r="F403" s="206" t="s">
        <v>2169</v>
      </c>
      <c r="G403" s="207" t="s">
        <v>2183</v>
      </c>
      <c r="H403" s="206" t="s">
        <v>2169</v>
      </c>
    </row>
    <row r="404" spans="1:16">
      <c r="A404" s="205">
        <f>(SUM(A398,1))</f>
        <v>330</v>
      </c>
      <c r="B404" s="230" t="s">
        <v>2222</v>
      </c>
      <c r="C404" s="238" t="s">
        <v>450</v>
      </c>
      <c r="D404" s="221">
        <v>1</v>
      </c>
      <c r="E404" s="218">
        <f>ROUND($I$1*I404,1)</f>
        <v>11550</v>
      </c>
      <c r="F404" s="217">
        <f>PRODUCT(D404,E404)</f>
        <v>11550</v>
      </c>
      <c r="G404" s="218">
        <f>ROUND($J$1*J404,1)</f>
        <v>2120</v>
      </c>
      <c r="H404" s="217">
        <f>PRODUCT(D404,G404)</f>
        <v>2120</v>
      </c>
      <c r="I404" s="216">
        <v>5500</v>
      </c>
      <c r="J404" s="215">
        <v>400</v>
      </c>
      <c r="P404" s="221">
        <v>2</v>
      </c>
    </row>
    <row r="405" spans="1:16">
      <c r="A405" s="205">
        <f>(SUM(A404,1))</f>
        <v>331</v>
      </c>
      <c r="B405" s="230" t="s">
        <v>2221</v>
      </c>
      <c r="C405" s="219" t="s">
        <v>450</v>
      </c>
      <c r="D405" s="221">
        <v>1</v>
      </c>
      <c r="E405" s="218">
        <f>ROUND($I$1*I405,1)</f>
        <v>2520</v>
      </c>
      <c r="F405" s="217">
        <f>PRODUCT(D405,E405)</f>
        <v>2520</v>
      </c>
      <c r="G405" s="218">
        <f>ROUND($J$1*J405,1)</f>
        <v>530</v>
      </c>
      <c r="H405" s="217">
        <f>PRODUCT(D405,G405)</f>
        <v>530</v>
      </c>
      <c r="I405" s="216">
        <v>1200</v>
      </c>
      <c r="J405" s="215">
        <v>100</v>
      </c>
      <c r="P405" s="221">
        <v>2</v>
      </c>
    </row>
    <row r="406" spans="1:16" ht="16.5">
      <c r="A406" s="205">
        <f>(SUM(A405,1))</f>
        <v>332</v>
      </c>
      <c r="B406" s="230" t="s">
        <v>2220</v>
      </c>
      <c r="C406" s="222" t="s">
        <v>450</v>
      </c>
      <c r="D406" s="221">
        <v>1</v>
      </c>
      <c r="E406" s="218">
        <f>ROUND($I$1*I406,1)</f>
        <v>12667.2</v>
      </c>
      <c r="F406" s="217">
        <f>PRODUCT(D406,E406)</f>
        <v>12667.2</v>
      </c>
      <c r="G406" s="218">
        <f>ROUND($J$1*J406,1)</f>
        <v>1325</v>
      </c>
      <c r="H406" s="217">
        <f>PRODUCT(D406,G406)</f>
        <v>1325</v>
      </c>
      <c r="I406" s="216">
        <v>6032</v>
      </c>
      <c r="J406" s="215">
        <v>250</v>
      </c>
      <c r="P406" s="221">
        <v>2</v>
      </c>
    </row>
    <row r="407" spans="1:16">
      <c r="A407" s="205">
        <f>(SUM(A406,1))</f>
        <v>333</v>
      </c>
      <c r="B407" s="230" t="s">
        <v>2219</v>
      </c>
      <c r="C407" s="222" t="s">
        <v>193</v>
      </c>
      <c r="D407" s="221">
        <v>650</v>
      </c>
      <c r="E407" s="218">
        <f>ROUND($I$1*I407,1)</f>
        <v>30.5</v>
      </c>
      <c r="F407" s="217">
        <f>PRODUCT(D407,E407)</f>
        <v>19825</v>
      </c>
      <c r="G407" s="218">
        <f>ROUND($J$1*J407,1)</f>
        <v>27.6</v>
      </c>
      <c r="H407" s="217">
        <f>PRODUCT(D407,G407)</f>
        <v>17940</v>
      </c>
      <c r="I407" s="216">
        <v>14.5</v>
      </c>
      <c r="J407" s="215">
        <v>5.2</v>
      </c>
      <c r="P407" s="221">
        <v>1500</v>
      </c>
    </row>
    <row r="408" spans="1:16">
      <c r="A408" s="205">
        <f>(SUM(A407,1))</f>
        <v>334</v>
      </c>
      <c r="B408" s="223" t="s">
        <v>2218</v>
      </c>
      <c r="C408" s="222" t="s">
        <v>193</v>
      </c>
      <c r="D408" s="221">
        <v>390</v>
      </c>
      <c r="E408" s="218">
        <f>ROUND($I$1*I408,1)</f>
        <v>15.8</v>
      </c>
      <c r="F408" s="217">
        <f>PRODUCT(D408,E408)</f>
        <v>6162</v>
      </c>
      <c r="G408" s="218">
        <f>ROUND($J$1*J408,1)</f>
        <v>22.3</v>
      </c>
      <c r="H408" s="217">
        <f>PRODUCT(D408,G408)</f>
        <v>8697</v>
      </c>
      <c r="I408" s="215">
        <v>7.5</v>
      </c>
      <c r="J408" s="215">
        <v>4.2</v>
      </c>
      <c r="P408" s="221">
        <v>900</v>
      </c>
    </row>
    <row r="409" spans="1:16">
      <c r="A409" s="205">
        <f>(SUM(A408,1))</f>
        <v>335</v>
      </c>
      <c r="B409" s="223" t="s">
        <v>2217</v>
      </c>
      <c r="C409" s="222" t="s">
        <v>193</v>
      </c>
      <c r="D409" s="221">
        <v>260</v>
      </c>
      <c r="E409" s="218">
        <f>ROUND($I$1*I409,1)</f>
        <v>17.899999999999999</v>
      </c>
      <c r="F409" s="217">
        <f>PRODUCT(D409,E409)</f>
        <v>4654</v>
      </c>
      <c r="G409" s="218">
        <f>ROUND($J$1*J409,1)</f>
        <v>22.3</v>
      </c>
      <c r="H409" s="217">
        <f>PRODUCT(D409,G409)</f>
        <v>5798</v>
      </c>
      <c r="I409" s="215">
        <v>8.5</v>
      </c>
      <c r="J409" s="215">
        <v>4.2</v>
      </c>
      <c r="P409" s="221">
        <v>600</v>
      </c>
    </row>
    <row r="410" spans="1:16">
      <c r="A410" s="205">
        <f>(SUM(A409,1))</f>
        <v>336</v>
      </c>
      <c r="B410" s="223" t="s">
        <v>2216</v>
      </c>
      <c r="C410" s="222" t="s">
        <v>193</v>
      </c>
      <c r="D410" s="221">
        <v>50</v>
      </c>
      <c r="E410" s="218">
        <f>ROUND($I$1*I410,1)</f>
        <v>352.8</v>
      </c>
      <c r="F410" s="217">
        <f>PRODUCT(D410,E410)</f>
        <v>17640</v>
      </c>
      <c r="G410" s="218">
        <f>ROUND($J$1*J410,1)</f>
        <v>161.69999999999999</v>
      </c>
      <c r="H410" s="217">
        <f>PRODUCT(D410,G410)</f>
        <v>8084.9999999999991</v>
      </c>
      <c r="I410" s="216">
        <f>112*1.5</f>
        <v>168</v>
      </c>
      <c r="J410" s="215">
        <v>30.5</v>
      </c>
      <c r="P410" s="221">
        <v>100</v>
      </c>
    </row>
    <row r="411" spans="1:16">
      <c r="A411" s="205">
        <f>(SUM(A410,1))</f>
        <v>337</v>
      </c>
      <c r="B411" s="230" t="s">
        <v>2215</v>
      </c>
      <c r="C411" s="222" t="s">
        <v>450</v>
      </c>
      <c r="D411" s="221">
        <v>12</v>
      </c>
      <c r="E411" s="218">
        <f>ROUND($I$1*I411,1)</f>
        <v>17.2</v>
      </c>
      <c r="F411" s="217">
        <f>PRODUCT(D411,E411)</f>
        <v>206.39999999999998</v>
      </c>
      <c r="G411" s="218">
        <f>ROUND($J$1*J411,1)</f>
        <v>24.6</v>
      </c>
      <c r="H411" s="217">
        <f>PRODUCT(D411,G411)</f>
        <v>295.20000000000005</v>
      </c>
      <c r="I411" s="216">
        <v>8.1999999999999993</v>
      </c>
      <c r="J411" s="215">
        <v>4.6500000000000004</v>
      </c>
      <c r="P411" s="221">
        <v>29</v>
      </c>
    </row>
    <row r="412" spans="1:16">
      <c r="A412" s="205">
        <f>(SUM(A411,1))</f>
        <v>338</v>
      </c>
      <c r="B412" s="230" t="s">
        <v>2214</v>
      </c>
      <c r="C412" s="222" t="s">
        <v>450</v>
      </c>
      <c r="D412" s="221">
        <v>22</v>
      </c>
      <c r="E412" s="218">
        <f>ROUND($I$1*I412,1)</f>
        <v>16.2</v>
      </c>
      <c r="F412" s="217">
        <f>PRODUCT(D412,E412)</f>
        <v>356.4</v>
      </c>
      <c r="G412" s="218">
        <f>ROUND($J$1*J412,1)</f>
        <v>26</v>
      </c>
      <c r="H412" s="217">
        <f>PRODUCT(D412,G412)</f>
        <v>572</v>
      </c>
      <c r="I412" s="216">
        <v>7.7</v>
      </c>
      <c r="J412" s="215">
        <v>4.9000000000000004</v>
      </c>
      <c r="P412" s="221">
        <v>50</v>
      </c>
    </row>
    <row r="413" spans="1:16">
      <c r="A413" s="205">
        <f>(SUM(A412,1))</f>
        <v>339</v>
      </c>
      <c r="B413" s="230" t="s">
        <v>2213</v>
      </c>
      <c r="C413" s="222" t="s">
        <v>450</v>
      </c>
      <c r="D413" s="221">
        <v>12</v>
      </c>
      <c r="E413" s="218">
        <f>ROUND($I$1*I413,1)</f>
        <v>36.5</v>
      </c>
      <c r="F413" s="217">
        <f>PRODUCT(D413,E413)</f>
        <v>438</v>
      </c>
      <c r="G413" s="218">
        <f>ROUND($J$1*J413,1)</f>
        <v>54.6</v>
      </c>
      <c r="H413" s="217">
        <f>PRODUCT(D413,G413)</f>
        <v>655.20000000000005</v>
      </c>
      <c r="I413" s="216">
        <v>17.399999999999999</v>
      </c>
      <c r="J413" s="215">
        <v>10.3</v>
      </c>
      <c r="P413" s="221">
        <v>30</v>
      </c>
    </row>
    <row r="414" spans="1:16">
      <c r="A414" s="205">
        <f>(SUM(A413,1))</f>
        <v>340</v>
      </c>
      <c r="B414" s="223" t="s">
        <v>2212</v>
      </c>
      <c r="C414" s="222" t="s">
        <v>193</v>
      </c>
      <c r="D414" s="221">
        <v>25</v>
      </c>
      <c r="E414" s="218">
        <f>ROUND($I$1*I414,1)</f>
        <v>210</v>
      </c>
      <c r="F414" s="217">
        <f>PRODUCT(D414,E414)</f>
        <v>5250</v>
      </c>
      <c r="G414" s="218">
        <f>ROUND($J$1*J414,1)</f>
        <v>49.3</v>
      </c>
      <c r="H414" s="217">
        <f>PRODUCT(D414,G414)</f>
        <v>1232.5</v>
      </c>
      <c r="I414" s="215">
        <v>100</v>
      </c>
      <c r="J414" s="215">
        <v>9.3000000000000007</v>
      </c>
      <c r="P414" s="221">
        <v>50</v>
      </c>
    </row>
    <row r="415" spans="1:16">
      <c r="A415" s="205">
        <f>(SUM(A414,1))</f>
        <v>341</v>
      </c>
      <c r="B415" s="223" t="s">
        <v>2211</v>
      </c>
      <c r="C415" s="222" t="s">
        <v>450</v>
      </c>
      <c r="D415" s="221">
        <v>12</v>
      </c>
      <c r="E415" s="218">
        <f>ROUND($I$1*I415,1)</f>
        <v>555.4</v>
      </c>
      <c r="F415" s="217">
        <f>PRODUCT(D415,E415)</f>
        <v>6664.7999999999993</v>
      </c>
      <c r="G415" s="218">
        <f>ROUND($J$1*J415,1)</f>
        <v>62.5</v>
      </c>
      <c r="H415" s="217">
        <f>PRODUCT(D415,G415)</f>
        <v>750</v>
      </c>
      <c r="I415" s="216">
        <f>220.93+25.17+18.36</f>
        <v>264.46000000000004</v>
      </c>
      <c r="J415" s="215">
        <v>11.8</v>
      </c>
      <c r="P415" s="221">
        <v>29</v>
      </c>
    </row>
    <row r="416" spans="1:16">
      <c r="A416" s="205">
        <f>(SUM(A415,1))</f>
        <v>342</v>
      </c>
      <c r="B416" s="237" t="s">
        <v>2210</v>
      </c>
      <c r="C416" s="236" t="s">
        <v>450</v>
      </c>
      <c r="D416" s="221">
        <v>13</v>
      </c>
      <c r="E416" s="218">
        <f>ROUND($I$1*I416,1)</f>
        <v>3150</v>
      </c>
      <c r="F416" s="217">
        <f>PRODUCT(D416,E416)</f>
        <v>40950</v>
      </c>
      <c r="G416" s="218">
        <f>ROUND($J$1*J416,1)</f>
        <v>185.5</v>
      </c>
      <c r="H416" s="217">
        <f>PRODUCT(D416,G416)</f>
        <v>2411.5</v>
      </c>
      <c r="I416" s="216">
        <v>1500</v>
      </c>
      <c r="J416" s="215">
        <v>35</v>
      </c>
      <c r="P416" s="221">
        <v>26</v>
      </c>
    </row>
    <row r="417" spans="1:16">
      <c r="A417" s="205">
        <f>(SUM(A416,1))</f>
        <v>343</v>
      </c>
      <c r="B417" s="235" t="s">
        <v>2209</v>
      </c>
      <c r="C417" s="234" t="s">
        <v>964</v>
      </c>
      <c r="D417" s="221">
        <v>50</v>
      </c>
      <c r="E417" s="218">
        <f>ROUND($I$1*I417,1)</f>
        <v>22.1</v>
      </c>
      <c r="F417" s="217">
        <f>PRODUCT(D417,E417)</f>
        <v>1105</v>
      </c>
      <c r="G417" s="218">
        <f>ROUND($J$1*J417,1)</f>
        <v>0</v>
      </c>
      <c r="H417" s="217">
        <f>PRODUCT(D417,G417)</f>
        <v>0</v>
      </c>
      <c r="I417" s="216">
        <v>10.5</v>
      </c>
      <c r="J417" s="215">
        <v>0</v>
      </c>
      <c r="P417" s="221">
        <v>120</v>
      </c>
    </row>
    <row r="418" spans="1:16">
      <c r="A418" s="201">
        <f>(SUM(A417,1))</f>
        <v>344</v>
      </c>
      <c r="B418" s="198"/>
      <c r="C418" s="200"/>
      <c r="D418" s="200"/>
      <c r="E418" s="200"/>
      <c r="F418" s="199">
        <f>SUM(F404:F417)</f>
        <v>129988.79999999999</v>
      </c>
      <c r="G418" s="198"/>
      <c r="H418" s="199">
        <f>SUM(H404:H417)</f>
        <v>50411.399999999994</v>
      </c>
    </row>
    <row r="419" spans="1:16">
      <c r="A419" s="196">
        <f>(SUM(A418,1))</f>
        <v>345</v>
      </c>
      <c r="B419" s="195" t="s">
        <v>2176</v>
      </c>
      <c r="C419" s="192"/>
      <c r="D419" s="194">
        <v>3</v>
      </c>
      <c r="E419" s="192" t="s">
        <v>565</v>
      </c>
      <c r="F419" s="213">
        <f>ROUND(F418*D419*0.01,1)</f>
        <v>3899.7</v>
      </c>
      <c r="G419" s="192"/>
      <c r="H419" s="191"/>
    </row>
    <row r="420" spans="1:16">
      <c r="A420" s="196">
        <f>(SUM(A419,1))</f>
        <v>346</v>
      </c>
      <c r="B420" s="195" t="s">
        <v>2175</v>
      </c>
      <c r="C420" s="192"/>
      <c r="D420" s="194">
        <v>10</v>
      </c>
      <c r="E420" s="192" t="s">
        <v>565</v>
      </c>
      <c r="F420" s="193"/>
      <c r="G420" s="192"/>
      <c r="H420" s="213">
        <f>ROUND(H418*D420*0.01,1)</f>
        <v>5041.1000000000004</v>
      </c>
    </row>
    <row r="421" spans="1:16">
      <c r="A421" s="190">
        <f>(SUM(A420,1))</f>
        <v>347</v>
      </c>
      <c r="B421" s="189" t="s">
        <v>2168</v>
      </c>
      <c r="C421" s="188"/>
      <c r="D421" s="188"/>
      <c r="E421" s="188"/>
      <c r="F421" s="187">
        <f>SUM(F418:F420)</f>
        <v>133888.5</v>
      </c>
      <c r="G421" s="212"/>
      <c r="H421" s="187">
        <f>SUM(H418:H420)</f>
        <v>55452.499999999993</v>
      </c>
    </row>
    <row r="422" spans="1:16">
      <c r="A422" s="178"/>
      <c r="B422" s="229"/>
      <c r="C422" s="192"/>
      <c r="D422" s="192"/>
      <c r="E422" s="192"/>
      <c r="F422" s="228"/>
      <c r="G422" s="192"/>
      <c r="H422" s="228"/>
    </row>
    <row r="423" spans="1:16">
      <c r="A423" s="178"/>
      <c r="B423" s="229"/>
      <c r="C423" s="192"/>
      <c r="D423" s="192"/>
      <c r="E423" s="192"/>
      <c r="F423" s="228"/>
      <c r="G423" s="192"/>
      <c r="H423" s="228"/>
    </row>
    <row r="424" spans="1:16">
      <c r="B424" s="229"/>
      <c r="C424" s="192"/>
      <c r="D424" s="192"/>
      <c r="E424" s="192"/>
      <c r="F424" s="228"/>
      <c r="G424" s="192"/>
      <c r="H424" s="228"/>
    </row>
    <row r="425" spans="1:16">
      <c r="A425" s="211"/>
      <c r="B425" s="233" t="s">
        <v>2208</v>
      </c>
      <c r="C425" s="210"/>
      <c r="D425" s="210"/>
      <c r="E425" s="299" t="s">
        <v>2173</v>
      </c>
      <c r="F425" s="299"/>
      <c r="G425" s="299" t="s">
        <v>2172</v>
      </c>
      <c r="H425" s="299"/>
      <c r="I425" s="225"/>
      <c r="J425" s="225"/>
    </row>
    <row r="426" spans="1:16">
      <c r="A426" s="209" t="s">
        <v>2171</v>
      </c>
      <c r="B426" s="226" t="s">
        <v>2170</v>
      </c>
      <c r="C426" s="207" t="s">
        <v>2185</v>
      </c>
      <c r="D426" s="206" t="s">
        <v>2184</v>
      </c>
      <c r="E426" s="207" t="s">
        <v>2183</v>
      </c>
      <c r="F426" s="206" t="s">
        <v>2169</v>
      </c>
      <c r="G426" s="207" t="s">
        <v>2183</v>
      </c>
      <c r="H426" s="206" t="s">
        <v>2169</v>
      </c>
      <c r="I426" s="178" t="s">
        <v>2173</v>
      </c>
      <c r="J426" s="178" t="s">
        <v>2172</v>
      </c>
    </row>
    <row r="427" spans="1:16" ht="16.5">
      <c r="A427" s="205">
        <f>(SUM(A421,1))</f>
        <v>348</v>
      </c>
      <c r="B427" s="230" t="s">
        <v>2207</v>
      </c>
      <c r="C427" s="222" t="s">
        <v>450</v>
      </c>
      <c r="D427" s="221">
        <v>1</v>
      </c>
      <c r="E427" s="218">
        <f>ROUND($I$1*I427,1)</f>
        <v>14910</v>
      </c>
      <c r="F427" s="217">
        <f>PRODUCT(D427,E427)</f>
        <v>14910</v>
      </c>
      <c r="G427" s="218">
        <f>ROUND($J$1*J427,1)</f>
        <v>7500</v>
      </c>
      <c r="H427" s="217">
        <f>PRODUCT(D427,G427)</f>
        <v>7500</v>
      </c>
      <c r="I427" s="216">
        <v>7100</v>
      </c>
      <c r="J427" s="215">
        <f>7500/$J$1</f>
        <v>1415.0943396226417</v>
      </c>
      <c r="P427" s="221">
        <v>2</v>
      </c>
    </row>
    <row r="428" spans="1:16">
      <c r="A428" s="205">
        <f>(SUM(A427,1))</f>
        <v>349</v>
      </c>
      <c r="B428" s="230" t="s">
        <v>2206</v>
      </c>
      <c r="C428" s="222" t="s">
        <v>450</v>
      </c>
      <c r="D428" s="221">
        <v>1</v>
      </c>
      <c r="E428" s="218">
        <f>ROUND($I$1*I428,1)</f>
        <v>2730</v>
      </c>
      <c r="F428" s="217">
        <f>PRODUCT(D428,E428)</f>
        <v>2730</v>
      </c>
      <c r="G428" s="218">
        <f>ROUND($J$1*J428,1)</f>
        <v>0</v>
      </c>
      <c r="H428" s="217">
        <f>PRODUCT(D428,G428)</f>
        <v>0</v>
      </c>
      <c r="I428" s="216">
        <v>1300</v>
      </c>
      <c r="J428" s="215">
        <v>0</v>
      </c>
      <c r="P428" s="221">
        <v>2</v>
      </c>
    </row>
    <row r="429" spans="1:16">
      <c r="A429" s="205">
        <f>(SUM(A428,1))</f>
        <v>350</v>
      </c>
      <c r="B429" s="230" t="s">
        <v>2205</v>
      </c>
      <c r="C429" s="222" t="s">
        <v>450</v>
      </c>
      <c r="D429" s="221">
        <v>1</v>
      </c>
      <c r="E429" s="218">
        <f>ROUND($I$1*I429,1)</f>
        <v>12390</v>
      </c>
      <c r="F429" s="217">
        <f>PRODUCT(D429,E429)</f>
        <v>12390</v>
      </c>
      <c r="G429" s="218">
        <f>ROUND($J$1*J429,1)</f>
        <v>238.5</v>
      </c>
      <c r="H429" s="217">
        <f>PRODUCT(D429,G429)</f>
        <v>238.5</v>
      </c>
      <c r="I429" s="216">
        <v>5900</v>
      </c>
      <c r="J429" s="215">
        <v>45</v>
      </c>
      <c r="P429" s="221">
        <v>2</v>
      </c>
    </row>
    <row r="430" spans="1:16">
      <c r="A430" s="205">
        <f>(SUM(A429,1))</f>
        <v>351</v>
      </c>
      <c r="B430" s="232" t="s">
        <v>2204</v>
      </c>
      <c r="C430" s="222" t="s">
        <v>450</v>
      </c>
      <c r="D430" s="221">
        <v>2</v>
      </c>
      <c r="E430" s="218">
        <f>ROUND($I$1*I430,1)</f>
        <v>3129</v>
      </c>
      <c r="F430" s="217">
        <f>PRODUCT(D430,E430)</f>
        <v>6258</v>
      </c>
      <c r="G430" s="218">
        <f>ROUND($J$1*J430,1)</f>
        <v>424</v>
      </c>
      <c r="H430" s="217">
        <f>PRODUCT(D430,G430)</f>
        <v>848</v>
      </c>
      <c r="I430" s="216">
        <v>1490</v>
      </c>
      <c r="J430" s="215">
        <v>80</v>
      </c>
      <c r="P430" s="221">
        <v>4</v>
      </c>
    </row>
    <row r="431" spans="1:16">
      <c r="A431" s="205">
        <f>(SUM(A430,1))</f>
        <v>352</v>
      </c>
      <c r="B431" s="230" t="s">
        <v>2203</v>
      </c>
      <c r="C431" s="222" t="s">
        <v>450</v>
      </c>
      <c r="D431" s="221">
        <v>5</v>
      </c>
      <c r="E431" s="218">
        <f>ROUND($I$1*I431,1)</f>
        <v>546</v>
      </c>
      <c r="F431" s="217">
        <f>PRODUCT(D431,E431)</f>
        <v>2730</v>
      </c>
      <c r="G431" s="218">
        <f>ROUND($J$1*J431,1)</f>
        <v>265</v>
      </c>
      <c r="H431" s="217">
        <f>PRODUCT(D431,G431)</f>
        <v>1325</v>
      </c>
      <c r="I431" s="216">
        <v>260</v>
      </c>
      <c r="J431" s="215">
        <v>50</v>
      </c>
      <c r="P431" s="221">
        <v>10</v>
      </c>
    </row>
    <row r="432" spans="1:16">
      <c r="A432" s="205">
        <f>(SUM(A431,1))</f>
        <v>353</v>
      </c>
      <c r="B432" s="230" t="s">
        <v>2202</v>
      </c>
      <c r="C432" s="222" t="s">
        <v>450</v>
      </c>
      <c r="D432" s="221">
        <v>41</v>
      </c>
      <c r="E432" s="218">
        <f>ROUND($I$1*I432,1)</f>
        <v>1680</v>
      </c>
      <c r="F432" s="217">
        <f>PRODUCT(D432,E432)</f>
        <v>68880</v>
      </c>
      <c r="G432" s="218">
        <f>ROUND($J$1*J432,1)</f>
        <v>265</v>
      </c>
      <c r="H432" s="217">
        <f>PRODUCT(D432,G432)</f>
        <v>10865</v>
      </c>
      <c r="I432" s="216">
        <v>800</v>
      </c>
      <c r="J432" s="215">
        <v>50</v>
      </c>
      <c r="P432" s="221">
        <v>82</v>
      </c>
    </row>
    <row r="433" spans="1:16">
      <c r="A433" s="205">
        <f>(SUM(A432,1))</f>
        <v>354</v>
      </c>
      <c r="B433" s="223" t="s">
        <v>2201</v>
      </c>
      <c r="C433" s="222" t="s">
        <v>193</v>
      </c>
      <c r="D433" s="221">
        <v>200</v>
      </c>
      <c r="E433" s="218">
        <f>ROUND($I$1*I433,1)</f>
        <v>25.2</v>
      </c>
      <c r="F433" s="217">
        <f>PRODUCT(D433,E433)</f>
        <v>5040</v>
      </c>
      <c r="G433" s="218">
        <f>ROUND($J$1*J433,1)</f>
        <v>15.9</v>
      </c>
      <c r="H433" s="217">
        <f>PRODUCT(D433,G433)</f>
        <v>3180</v>
      </c>
      <c r="I433" s="216">
        <v>12</v>
      </c>
      <c r="J433" s="215">
        <v>3</v>
      </c>
      <c r="P433" s="221">
        <v>400</v>
      </c>
    </row>
    <row r="434" spans="1:16">
      <c r="A434" s="205">
        <f>(SUM(A433,1))</f>
        <v>355</v>
      </c>
      <c r="B434" s="223" t="s">
        <v>2200</v>
      </c>
      <c r="C434" s="222" t="s">
        <v>193</v>
      </c>
      <c r="D434" s="221">
        <v>25</v>
      </c>
      <c r="E434" s="218">
        <f>ROUND($I$1*I434,1)</f>
        <v>25.2</v>
      </c>
      <c r="F434" s="217">
        <f>PRODUCT(D434,E434)</f>
        <v>630</v>
      </c>
      <c r="G434" s="218">
        <f>ROUND($J$1*J434,1)</f>
        <v>15.9</v>
      </c>
      <c r="H434" s="217">
        <f>PRODUCT(D434,G434)</f>
        <v>397.5</v>
      </c>
      <c r="I434" s="216">
        <v>12</v>
      </c>
      <c r="J434" s="215">
        <v>3</v>
      </c>
      <c r="P434" s="221">
        <v>50</v>
      </c>
    </row>
    <row r="435" spans="1:16">
      <c r="A435" s="205">
        <f>(SUM(A434,1))</f>
        <v>356</v>
      </c>
      <c r="B435" s="223" t="s">
        <v>2199</v>
      </c>
      <c r="C435" s="222" t="s">
        <v>2177</v>
      </c>
      <c r="D435" s="221">
        <v>1</v>
      </c>
      <c r="E435" s="218">
        <f>ROUND($I$1*I435,1)</f>
        <v>4200</v>
      </c>
      <c r="F435" s="217">
        <f>PRODUCT(D435,E435)</f>
        <v>4200</v>
      </c>
      <c r="G435" s="218">
        <f>ROUND($J$1*J435,1)</f>
        <v>1060</v>
      </c>
      <c r="H435" s="217">
        <f>PRODUCT(D435,G435)</f>
        <v>1060</v>
      </c>
      <c r="I435" s="215">
        <v>2000</v>
      </c>
      <c r="J435" s="215">
        <v>200</v>
      </c>
      <c r="P435" s="221">
        <v>1</v>
      </c>
    </row>
    <row r="436" spans="1:16">
      <c r="A436" s="205">
        <f>(SUM(A435,1))</f>
        <v>357</v>
      </c>
      <c r="B436" s="230" t="s">
        <v>2198</v>
      </c>
      <c r="C436" s="222" t="s">
        <v>193</v>
      </c>
      <c r="D436" s="221">
        <v>200</v>
      </c>
      <c r="E436" s="218">
        <f>ROUND($I$1*I436,1)</f>
        <v>105</v>
      </c>
      <c r="F436" s="217">
        <f>PRODUCT(D436,E436)</f>
        <v>21000</v>
      </c>
      <c r="G436" s="218">
        <f>ROUND($J$1*J436,1)</f>
        <v>31.8</v>
      </c>
      <c r="H436" s="217">
        <f>PRODUCT(D436,G436)</f>
        <v>6360</v>
      </c>
      <c r="I436" s="216">
        <v>50</v>
      </c>
      <c r="J436" s="215">
        <v>6</v>
      </c>
      <c r="P436" s="221">
        <v>400</v>
      </c>
    </row>
    <row r="437" spans="1:16">
      <c r="A437" s="201">
        <f>(SUM(A436,1))</f>
        <v>358</v>
      </c>
      <c r="B437" s="198"/>
      <c r="C437" s="200"/>
      <c r="D437" s="200"/>
      <c r="E437" s="200"/>
      <c r="F437" s="199">
        <f>SUM(F427:F436)</f>
        <v>138768</v>
      </c>
      <c r="G437" s="198"/>
      <c r="H437" s="199">
        <f>SUM(H427:H436)</f>
        <v>31774</v>
      </c>
    </row>
    <row r="438" spans="1:16">
      <c r="A438" s="196">
        <f>(SUM(A437,1))</f>
        <v>359</v>
      </c>
      <c r="B438" s="195" t="s">
        <v>2176</v>
      </c>
      <c r="C438" s="192"/>
      <c r="D438" s="194">
        <v>3</v>
      </c>
      <c r="E438" s="192" t="s">
        <v>565</v>
      </c>
      <c r="F438" s="213">
        <f>ROUND(F437*D438*0.01,1)</f>
        <v>4163</v>
      </c>
      <c r="G438" s="192"/>
      <c r="H438" s="191"/>
    </row>
    <row r="439" spans="1:16">
      <c r="A439" s="196">
        <f>(SUM(A438,1))</f>
        <v>360</v>
      </c>
      <c r="B439" s="195" t="s">
        <v>2175</v>
      </c>
      <c r="C439" s="192"/>
      <c r="D439" s="194">
        <v>10</v>
      </c>
      <c r="E439" s="192" t="s">
        <v>565</v>
      </c>
      <c r="F439" s="193"/>
      <c r="G439" s="192"/>
      <c r="H439" s="213">
        <f>ROUND(H437*D439*0.01,1)</f>
        <v>3177.4</v>
      </c>
    </row>
    <row r="440" spans="1:16">
      <c r="A440" s="190">
        <f>(SUM(A439,1))</f>
        <v>361</v>
      </c>
      <c r="B440" s="189" t="s">
        <v>2168</v>
      </c>
      <c r="C440" s="188"/>
      <c r="D440" s="188"/>
      <c r="E440" s="188"/>
      <c r="F440" s="187">
        <f>SUM(F437:F439)</f>
        <v>142931</v>
      </c>
      <c r="G440" s="212"/>
      <c r="H440" s="187">
        <f>SUM(H437:H439)</f>
        <v>34951.4</v>
      </c>
    </row>
    <row r="441" spans="1:16">
      <c r="B441" s="229"/>
      <c r="C441" s="192"/>
      <c r="D441" s="192"/>
      <c r="E441" s="192"/>
      <c r="F441" s="228"/>
      <c r="G441" s="192"/>
      <c r="H441" s="228"/>
    </row>
    <row r="442" spans="1:16">
      <c r="B442" s="229"/>
      <c r="C442" s="192"/>
      <c r="D442" s="192"/>
      <c r="E442" s="192"/>
      <c r="F442" s="228"/>
      <c r="G442" s="192"/>
      <c r="H442" s="228"/>
    </row>
    <row r="443" spans="1:16">
      <c r="B443" s="229"/>
      <c r="C443" s="192"/>
      <c r="D443" s="192"/>
      <c r="E443" s="192"/>
      <c r="F443" s="228"/>
      <c r="G443" s="192"/>
      <c r="H443" s="228"/>
    </row>
    <row r="444" spans="1:16">
      <c r="A444" s="211"/>
      <c r="B444" s="227" t="s">
        <v>2197</v>
      </c>
      <c r="C444" s="210"/>
      <c r="D444" s="210"/>
      <c r="E444" s="299" t="s">
        <v>2173</v>
      </c>
      <c r="F444" s="299"/>
      <c r="G444" s="299" t="s">
        <v>2172</v>
      </c>
      <c r="H444" s="299"/>
      <c r="I444" s="225">
        <v>1.2</v>
      </c>
      <c r="J444" s="225"/>
    </row>
    <row r="445" spans="1:16">
      <c r="A445" s="209" t="s">
        <v>2171</v>
      </c>
      <c r="B445" s="226" t="s">
        <v>2170</v>
      </c>
      <c r="C445" s="207" t="s">
        <v>2185</v>
      </c>
      <c r="D445" s="206" t="s">
        <v>2184</v>
      </c>
      <c r="E445" s="207" t="s">
        <v>2183</v>
      </c>
      <c r="F445" s="206" t="s">
        <v>2169</v>
      </c>
      <c r="G445" s="207" t="s">
        <v>2183</v>
      </c>
      <c r="H445" s="206" t="s">
        <v>2169</v>
      </c>
      <c r="I445" s="178" t="s">
        <v>2173</v>
      </c>
      <c r="J445" s="178" t="s">
        <v>2172</v>
      </c>
    </row>
    <row r="446" spans="1:16">
      <c r="A446" s="205">
        <f>(SUM(A440,1))</f>
        <v>362</v>
      </c>
      <c r="B446" s="223" t="s">
        <v>2196</v>
      </c>
      <c r="C446" s="222" t="s">
        <v>450</v>
      </c>
      <c r="D446" s="300">
        <v>85</v>
      </c>
      <c r="E446" s="218">
        <f>ROUND($I$444*I446,1)</f>
        <v>8880</v>
      </c>
      <c r="F446" s="217">
        <f>PRODUCT(D446,E446)</f>
        <v>754800</v>
      </c>
      <c r="G446" s="218">
        <f>ROUND($J$1*J446,1)</f>
        <v>238.5</v>
      </c>
      <c r="H446" s="217">
        <f>PRODUCT(D446,G446)</f>
        <v>20272.5</v>
      </c>
      <c r="I446" s="215">
        <v>7400</v>
      </c>
      <c r="J446" s="215">
        <v>45</v>
      </c>
    </row>
    <row r="447" spans="1:16">
      <c r="A447" s="205">
        <f>(SUM(A446,1))</f>
        <v>363</v>
      </c>
      <c r="B447" s="223" t="s">
        <v>2195</v>
      </c>
      <c r="C447" s="222" t="s">
        <v>450</v>
      </c>
      <c r="D447" s="300">
        <v>85</v>
      </c>
      <c r="E447" s="218">
        <f>ROUND($I$444*I447,1)</f>
        <v>1602.6</v>
      </c>
      <c r="F447" s="217">
        <f>PRODUCT(D447,E447)</f>
        <v>136221</v>
      </c>
      <c r="G447" s="218">
        <f>ROUND($J$1*J447,1)</f>
        <v>238.5</v>
      </c>
      <c r="H447" s="217">
        <f>PRODUCT(D447,G447)</f>
        <v>20272.5</v>
      </c>
      <c r="I447" s="215">
        <f>1616/1.21</f>
        <v>1335.5371900826447</v>
      </c>
      <c r="J447" s="215">
        <v>45</v>
      </c>
    </row>
    <row r="448" spans="1:16">
      <c r="A448" s="205">
        <f>(SUM(A447,1))</f>
        <v>364</v>
      </c>
      <c r="B448" s="223" t="s">
        <v>2194</v>
      </c>
      <c r="C448" s="222" t="s">
        <v>450</v>
      </c>
      <c r="D448" s="300">
        <v>85</v>
      </c>
      <c r="E448" s="218">
        <f>ROUND($I$444*I448,1)</f>
        <v>1800</v>
      </c>
      <c r="F448" s="217">
        <f>PRODUCT(D448,E448)</f>
        <v>153000</v>
      </c>
      <c r="G448" s="218">
        <f>ROUND($J$1*J448,1)</f>
        <v>265</v>
      </c>
      <c r="H448" s="217">
        <f>PRODUCT(D448,G448)</f>
        <v>22525</v>
      </c>
      <c r="I448" s="215">
        <v>1500</v>
      </c>
      <c r="J448" s="215">
        <v>50</v>
      </c>
    </row>
    <row r="449" spans="1:16" ht="16.5">
      <c r="A449" s="205">
        <f>(SUM(A448,1))</f>
        <v>365</v>
      </c>
      <c r="B449" s="231" t="s">
        <v>2193</v>
      </c>
      <c r="C449" s="222" t="s">
        <v>450</v>
      </c>
      <c r="D449" s="300">
        <v>2</v>
      </c>
      <c r="E449" s="218">
        <f>ROUND($I$444*I449,1)</f>
        <v>64214.9</v>
      </c>
      <c r="F449" s="217">
        <f>PRODUCT(D449,E449)</f>
        <v>128429.8</v>
      </c>
      <c r="G449" s="218">
        <f>ROUND($J$1*J449,1)</f>
        <v>662.5</v>
      </c>
      <c r="H449" s="217">
        <f>PRODUCT(D449,G449)</f>
        <v>1325</v>
      </c>
      <c r="I449" s="215">
        <f>64750/1.21</f>
        <v>53512.396694214876</v>
      </c>
      <c r="J449" s="215">
        <v>125</v>
      </c>
    </row>
    <row r="450" spans="1:16" ht="16.5">
      <c r="A450" s="205">
        <f>(SUM(A449,1))</f>
        <v>366</v>
      </c>
      <c r="B450" s="231" t="s">
        <v>2192</v>
      </c>
      <c r="C450" s="222" t="s">
        <v>450</v>
      </c>
      <c r="D450" s="221">
        <v>1</v>
      </c>
      <c r="E450" s="218">
        <f>ROUND($I$444*I450,1)</f>
        <v>56628.1</v>
      </c>
      <c r="F450" s="217">
        <f>PRODUCT(D450,E450)</f>
        <v>56628.1</v>
      </c>
      <c r="G450" s="218">
        <f>ROUND($J$1*J450,1)</f>
        <v>662.5</v>
      </c>
      <c r="H450" s="217">
        <f>PRODUCT(D450,G450)</f>
        <v>662.5</v>
      </c>
      <c r="I450" s="215">
        <f>57100/1.21</f>
        <v>47190.082644628099</v>
      </c>
      <c r="J450" s="215">
        <v>125</v>
      </c>
    </row>
    <row r="451" spans="1:16" ht="16.5">
      <c r="A451" s="205">
        <f>(SUM(A450,1))</f>
        <v>367</v>
      </c>
      <c r="B451" s="231" t="s">
        <v>2191</v>
      </c>
      <c r="C451" s="222" t="s">
        <v>450</v>
      </c>
      <c r="D451" s="300">
        <v>2</v>
      </c>
      <c r="E451" s="218">
        <f>ROUND($I$444*I451,1)</f>
        <v>240000</v>
      </c>
      <c r="F451" s="217">
        <f>PRODUCT(D451,E451)</f>
        <v>480000</v>
      </c>
      <c r="G451" s="218">
        <f>ROUND($J$1*J451,1)</f>
        <v>5300</v>
      </c>
      <c r="H451" s="217">
        <f>PRODUCT(D451,G451)</f>
        <v>10600</v>
      </c>
      <c r="I451" s="215">
        <v>200000</v>
      </c>
      <c r="J451" s="215">
        <v>1000</v>
      </c>
    </row>
    <row r="452" spans="1:16" ht="16.5">
      <c r="A452" s="205">
        <f>(SUM(A451,1))</f>
        <v>368</v>
      </c>
      <c r="B452" s="231" t="s">
        <v>2190</v>
      </c>
      <c r="C452" s="222" t="s">
        <v>450</v>
      </c>
      <c r="D452" s="221">
        <v>1</v>
      </c>
      <c r="E452" s="218">
        <f>ROUND($I$444*I452,1)</f>
        <v>134400</v>
      </c>
      <c r="F452" s="217">
        <f>PRODUCT(D452,E452)</f>
        <v>134400</v>
      </c>
      <c r="G452" s="218">
        <f>ROUND($J$1*J452,1)</f>
        <v>3710</v>
      </c>
      <c r="H452" s="217">
        <f>PRODUCT(D452,G452)</f>
        <v>3710</v>
      </c>
      <c r="I452" s="215">
        <v>112000</v>
      </c>
      <c r="J452" s="215">
        <v>700</v>
      </c>
    </row>
    <row r="453" spans="1:16">
      <c r="A453" s="205">
        <f>(SUM(A452,1))</f>
        <v>369</v>
      </c>
      <c r="B453" s="231" t="s">
        <v>2189</v>
      </c>
      <c r="C453" s="222" t="s">
        <v>450</v>
      </c>
      <c r="D453" s="300">
        <v>3</v>
      </c>
      <c r="E453" s="218">
        <f>ROUND($I$444*I453,1)</f>
        <v>9600</v>
      </c>
      <c r="F453" s="217">
        <f>PRODUCT(D453,E453)</f>
        <v>28800</v>
      </c>
      <c r="G453" s="218">
        <f>ROUND($J$1*J453,1)</f>
        <v>662.5</v>
      </c>
      <c r="H453" s="217">
        <f>PRODUCT(D453,G453)</f>
        <v>1987.5</v>
      </c>
      <c r="I453" s="215">
        <v>8000</v>
      </c>
      <c r="J453" s="215">
        <v>125</v>
      </c>
    </row>
    <row r="454" spans="1:16">
      <c r="A454" s="205">
        <f>(SUM(A453,1))</f>
        <v>370</v>
      </c>
      <c r="B454" s="230" t="s">
        <v>2188</v>
      </c>
      <c r="C454" s="222" t="s">
        <v>450</v>
      </c>
      <c r="D454" s="221">
        <v>1</v>
      </c>
      <c r="E454" s="218">
        <f>ROUND($I$444*I454,1)</f>
        <v>19041.3</v>
      </c>
      <c r="F454" s="217">
        <f>PRODUCT(D454,E454)</f>
        <v>19041.3</v>
      </c>
      <c r="G454" s="218">
        <f>ROUND($J$1*J454,1)</f>
        <v>503.5</v>
      </c>
      <c r="H454" s="217">
        <f>PRODUCT(D454,G454)</f>
        <v>503.5</v>
      </c>
      <c r="I454" s="216">
        <f>19200/1.21</f>
        <v>15867.768595041323</v>
      </c>
      <c r="J454" s="215">
        <v>95</v>
      </c>
      <c r="P454" s="221">
        <v>2</v>
      </c>
    </row>
    <row r="455" spans="1:16" ht="16.5">
      <c r="A455" s="205">
        <f>(SUM(A454,1))</f>
        <v>371</v>
      </c>
      <c r="B455" s="230" t="s">
        <v>2187</v>
      </c>
      <c r="C455" s="222" t="s">
        <v>1247</v>
      </c>
      <c r="D455" s="300">
        <v>20</v>
      </c>
      <c r="E455" s="218">
        <f>ROUND($I$444*I455,1)</f>
        <v>0</v>
      </c>
      <c r="F455" s="217">
        <f>PRODUCT(D455,E455)</f>
        <v>0</v>
      </c>
      <c r="G455" s="218">
        <f>ROUND($J$1*J455,1)</f>
        <v>800</v>
      </c>
      <c r="H455" s="217">
        <f>PRODUCT(D455,G455)</f>
        <v>16000</v>
      </c>
      <c r="I455" s="216">
        <v>0</v>
      </c>
      <c r="J455" s="215">
        <f>800/$J$1</f>
        <v>150.9433962264151</v>
      </c>
      <c r="P455" s="221">
        <v>2</v>
      </c>
    </row>
    <row r="456" spans="1:16">
      <c r="A456" s="201">
        <f>(SUM(A455,1))</f>
        <v>372</v>
      </c>
      <c r="B456" s="198"/>
      <c r="C456" s="200"/>
      <c r="D456" s="200"/>
      <c r="E456" s="200"/>
      <c r="F456" s="199">
        <f>SUM(F446:F455)</f>
        <v>1891320.2000000002</v>
      </c>
      <c r="G456" s="198"/>
      <c r="H456" s="199">
        <f>SUM(H446:H455)</f>
        <v>97858.5</v>
      </c>
    </row>
    <row r="457" spans="1:16">
      <c r="A457" s="196">
        <f>(SUM(A456,1))</f>
        <v>373</v>
      </c>
      <c r="B457" s="195" t="s">
        <v>2176</v>
      </c>
      <c r="C457" s="192"/>
      <c r="D457" s="194">
        <v>1</v>
      </c>
      <c r="E457" s="192" t="s">
        <v>565</v>
      </c>
      <c r="F457" s="213">
        <f>ROUND(F456*D457*0.01,1)</f>
        <v>18913.2</v>
      </c>
      <c r="G457" s="192"/>
      <c r="H457" s="191"/>
    </row>
    <row r="458" spans="1:16">
      <c r="A458" s="196">
        <f>(SUM(A457,1))</f>
        <v>374</v>
      </c>
      <c r="B458" s="195" t="s">
        <v>2175</v>
      </c>
      <c r="C458" s="192"/>
      <c r="D458" s="194">
        <v>6</v>
      </c>
      <c r="E458" s="192" t="s">
        <v>565</v>
      </c>
      <c r="F458" s="193"/>
      <c r="G458" s="192"/>
      <c r="H458" s="213">
        <f>ROUND(H456*D458*0.01,1)</f>
        <v>5871.5</v>
      </c>
    </row>
    <row r="459" spans="1:16">
      <c r="A459" s="190">
        <f>(SUM(A458,1))</f>
        <v>375</v>
      </c>
      <c r="B459" s="189" t="s">
        <v>2168</v>
      </c>
      <c r="C459" s="188"/>
      <c r="D459" s="188"/>
      <c r="E459" s="188"/>
      <c r="F459" s="187">
        <f>SUM(F456:F458)</f>
        <v>1910233.4000000001</v>
      </c>
      <c r="G459" s="212"/>
      <c r="H459" s="187">
        <f>SUM(H456:H458)</f>
        <v>103730</v>
      </c>
    </row>
    <row r="460" spans="1:16">
      <c r="B460" s="229"/>
      <c r="C460" s="192"/>
      <c r="D460" s="192"/>
      <c r="E460" s="192"/>
      <c r="F460" s="228"/>
      <c r="G460" s="192"/>
      <c r="H460" s="228"/>
    </row>
    <row r="461" spans="1:16">
      <c r="B461" s="229"/>
      <c r="C461" s="192"/>
      <c r="D461" s="192"/>
      <c r="E461" s="192"/>
      <c r="F461" s="228"/>
      <c r="G461" s="192"/>
      <c r="H461" s="228"/>
    </row>
    <row r="463" spans="1:16">
      <c r="B463" s="227" t="s">
        <v>2186</v>
      </c>
      <c r="C463" s="210"/>
      <c r="D463" s="210"/>
      <c r="E463" s="299" t="s">
        <v>2173</v>
      </c>
      <c r="F463" s="299"/>
      <c r="G463" s="299" t="s">
        <v>2172</v>
      </c>
      <c r="H463" s="299"/>
    </row>
    <row r="464" spans="1:16">
      <c r="A464" s="209" t="s">
        <v>2171</v>
      </c>
      <c r="B464" s="226" t="s">
        <v>2170</v>
      </c>
      <c r="C464" s="207" t="s">
        <v>2185</v>
      </c>
      <c r="D464" s="206" t="s">
        <v>2184</v>
      </c>
      <c r="E464" s="207" t="s">
        <v>2183</v>
      </c>
      <c r="F464" s="206" t="s">
        <v>2169</v>
      </c>
      <c r="G464" s="207" t="s">
        <v>2183</v>
      </c>
      <c r="H464" s="206" t="s">
        <v>2169</v>
      </c>
      <c r="I464" s="225"/>
      <c r="J464" s="225"/>
    </row>
    <row r="465" spans="1:16">
      <c r="A465" s="205">
        <f>(SUM(A459,1))</f>
        <v>376</v>
      </c>
      <c r="B465" s="224" t="s">
        <v>2182</v>
      </c>
      <c r="C465" s="219" t="s">
        <v>2177</v>
      </c>
      <c r="D465" s="214">
        <v>1</v>
      </c>
      <c r="E465" s="218">
        <f>ROUND($I$1*I465,1)</f>
        <v>0</v>
      </c>
      <c r="F465" s="217">
        <f>PRODUCT(D465,E465)</f>
        <v>0</v>
      </c>
      <c r="G465" s="218">
        <f>ROUND($J$1*J465,1)</f>
        <v>10000</v>
      </c>
      <c r="H465" s="217">
        <f>PRODUCT(D465,G465)</f>
        <v>10000</v>
      </c>
      <c r="I465" s="216">
        <v>0</v>
      </c>
      <c r="J465" s="215">
        <f>10000/$J$1</f>
        <v>1886.7924528301887</v>
      </c>
      <c r="P465" s="214">
        <v>1</v>
      </c>
    </row>
    <row r="466" spans="1:16">
      <c r="A466" s="205">
        <f>(SUM(A465,1))</f>
        <v>377</v>
      </c>
      <c r="B466" s="224" t="s">
        <v>2181</v>
      </c>
      <c r="C466" s="219" t="s">
        <v>1247</v>
      </c>
      <c r="D466" s="214">
        <v>120</v>
      </c>
      <c r="E466" s="218">
        <f>ROUND($I$1*I466,1)</f>
        <v>0</v>
      </c>
      <c r="F466" s="217">
        <f>PRODUCT(D466,E466)</f>
        <v>0</v>
      </c>
      <c r="G466" s="218">
        <f>ROUND($J$1*J466,1)</f>
        <v>450</v>
      </c>
      <c r="H466" s="217">
        <f>PRODUCT(D466,G466)</f>
        <v>54000</v>
      </c>
      <c r="I466" s="216">
        <v>0</v>
      </c>
      <c r="J466" s="215">
        <f>450/$J$1</f>
        <v>84.905660377358487</v>
      </c>
      <c r="P466" s="214">
        <v>200</v>
      </c>
    </row>
    <row r="467" spans="1:16" ht="24.75">
      <c r="A467" s="205">
        <f>(SUM(A466,1))</f>
        <v>378</v>
      </c>
      <c r="B467" s="224" t="s">
        <v>2180</v>
      </c>
      <c r="C467" s="219" t="s">
        <v>1247</v>
      </c>
      <c r="D467" s="214">
        <v>60</v>
      </c>
      <c r="E467" s="218">
        <f>ROUND($I$1*I467,1)</f>
        <v>0</v>
      </c>
      <c r="F467" s="217">
        <f>PRODUCT(D467,E467)</f>
        <v>0</v>
      </c>
      <c r="G467" s="218">
        <f>ROUND($J$1*J467,1)</f>
        <v>450</v>
      </c>
      <c r="H467" s="217">
        <f>PRODUCT(D467,G467)</f>
        <v>27000</v>
      </c>
      <c r="I467" s="216">
        <v>0</v>
      </c>
      <c r="J467" s="215">
        <f>450/$J$1</f>
        <v>84.905660377358487</v>
      </c>
      <c r="P467" s="214"/>
    </row>
    <row r="468" spans="1:16">
      <c r="A468" s="205">
        <f>(SUM(A467,1))</f>
        <v>379</v>
      </c>
      <c r="B468" s="223" t="s">
        <v>2179</v>
      </c>
      <c r="C468" s="222" t="s">
        <v>2177</v>
      </c>
      <c r="D468" s="221">
        <v>1</v>
      </c>
      <c r="E468" s="218">
        <f>ROUND($I$1*I468,1)</f>
        <v>0</v>
      </c>
      <c r="F468" s="217">
        <f>PRODUCT(D468,E468)</f>
        <v>0</v>
      </c>
      <c r="G468" s="218">
        <f>ROUND($J$1*J468,1)</f>
        <v>35000</v>
      </c>
      <c r="H468" s="217">
        <f>PRODUCT(D468,G468)</f>
        <v>35000</v>
      </c>
      <c r="I468" s="216">
        <v>0</v>
      </c>
      <c r="J468" s="215">
        <f>35000/$J$1</f>
        <v>6603.7735849056608</v>
      </c>
      <c r="P468" s="221">
        <v>1</v>
      </c>
    </row>
    <row r="469" spans="1:16">
      <c r="A469" s="205">
        <f>(SUM(A468,1))</f>
        <v>380</v>
      </c>
      <c r="B469" s="220" t="s">
        <v>2178</v>
      </c>
      <c r="C469" s="219" t="s">
        <v>2177</v>
      </c>
      <c r="D469" s="214">
        <v>1</v>
      </c>
      <c r="E469" s="218">
        <f>ROUND($I$1*I469,1)</f>
        <v>0</v>
      </c>
      <c r="F469" s="217">
        <f>PRODUCT(D469,E469)</f>
        <v>0</v>
      </c>
      <c r="G469" s="218">
        <f>ROUND($J$1*J469,1)</f>
        <v>25000</v>
      </c>
      <c r="H469" s="217">
        <f>PRODUCT(D469,G469)</f>
        <v>25000</v>
      </c>
      <c r="I469" s="216">
        <v>0</v>
      </c>
      <c r="J469" s="215">
        <f>25000/$J$1</f>
        <v>4716.9811320754716</v>
      </c>
      <c r="P469" s="214">
        <v>1</v>
      </c>
    </row>
    <row r="470" spans="1:16">
      <c r="A470" s="201">
        <f>(SUM(A469,1))</f>
        <v>381</v>
      </c>
      <c r="B470" s="198"/>
      <c r="C470" s="200"/>
      <c r="D470" s="200"/>
      <c r="E470" s="200"/>
      <c r="F470" s="199">
        <f>SUM(F465:F469)</f>
        <v>0</v>
      </c>
      <c r="G470" s="198"/>
      <c r="H470" s="199">
        <f>SUM(H465:H469)</f>
        <v>151000</v>
      </c>
    </row>
    <row r="471" spans="1:16">
      <c r="A471" s="196">
        <f>(SUM(A470,1))</f>
        <v>382</v>
      </c>
      <c r="B471" s="195" t="s">
        <v>2176</v>
      </c>
      <c r="C471" s="192"/>
      <c r="D471" s="194">
        <v>0</v>
      </c>
      <c r="E471" s="192" t="s">
        <v>565</v>
      </c>
      <c r="F471" s="213">
        <f>ROUND(F470*D471*0.01,1)</f>
        <v>0</v>
      </c>
      <c r="G471" s="192"/>
      <c r="H471" s="191"/>
    </row>
    <row r="472" spans="1:16">
      <c r="A472" s="196">
        <f>(SUM(A471,1))</f>
        <v>383</v>
      </c>
      <c r="B472" s="195" t="s">
        <v>2175</v>
      </c>
      <c r="C472" s="192"/>
      <c r="D472" s="194">
        <v>0</v>
      </c>
      <c r="E472" s="192" t="s">
        <v>565</v>
      </c>
      <c r="F472" s="193"/>
      <c r="G472" s="192"/>
      <c r="H472" s="213">
        <f>ROUND(H470*D472*0.01,1)</f>
        <v>0</v>
      </c>
    </row>
    <row r="473" spans="1:16">
      <c r="A473" s="190">
        <f>(SUM(A472,1))</f>
        <v>384</v>
      </c>
      <c r="B473" s="189" t="s">
        <v>2168</v>
      </c>
      <c r="C473" s="188"/>
      <c r="D473" s="188"/>
      <c r="E473" s="188"/>
      <c r="F473" s="187">
        <f>SUM(F470:F472)</f>
        <v>0</v>
      </c>
      <c r="G473" s="212"/>
      <c r="H473" s="187">
        <f>SUM(H470:H472)</f>
        <v>151000</v>
      </c>
    </row>
    <row r="485" spans="1:8" ht="13.5" thickBot="1">
      <c r="A485" s="174"/>
      <c r="B485" s="174"/>
      <c r="C485" s="174"/>
      <c r="D485" s="174"/>
      <c r="E485" s="174"/>
      <c r="F485" s="174"/>
      <c r="G485" s="174"/>
      <c r="H485" s="174"/>
    </row>
    <row r="486" spans="1:8" ht="13.5" thickTop="1"/>
    <row r="487" spans="1:8">
      <c r="B487" s="211" t="s">
        <v>2174</v>
      </c>
      <c r="C487" s="210"/>
      <c r="D487" s="210"/>
      <c r="E487" s="299" t="s">
        <v>2173</v>
      </c>
      <c r="F487" s="299"/>
      <c r="G487" s="299" t="s">
        <v>2172</v>
      </c>
      <c r="H487" s="299"/>
    </row>
    <row r="488" spans="1:8">
      <c r="A488" s="209" t="s">
        <v>2171</v>
      </c>
      <c r="B488" s="296" t="s">
        <v>2170</v>
      </c>
      <c r="C488" s="297"/>
      <c r="D488" s="298"/>
      <c r="E488" s="208"/>
      <c r="F488" s="206" t="s">
        <v>2169</v>
      </c>
      <c r="G488" s="207"/>
      <c r="H488" s="206" t="s">
        <v>2169</v>
      </c>
    </row>
    <row r="489" spans="1:8">
      <c r="A489" s="205">
        <f>(SUM(A473,1))</f>
        <v>385</v>
      </c>
      <c r="B489" s="204" t="str">
        <f>B1</f>
        <v>1. Elektroinstalace - silnoproudá</v>
      </c>
      <c r="C489" s="203"/>
      <c r="D489" s="202">
        <v>21</v>
      </c>
      <c r="E489" s="289">
        <f>F77</f>
        <v>1636705.4000000001</v>
      </c>
      <c r="F489" s="290"/>
      <c r="G489" s="289">
        <f>H77</f>
        <v>455869.89999999997</v>
      </c>
      <c r="H489" s="290"/>
    </row>
    <row r="490" spans="1:8">
      <c r="A490" s="205">
        <f>(SUM(A489,1))</f>
        <v>386</v>
      </c>
      <c r="B490" s="204" t="str">
        <f>B81</f>
        <v>2. Elektroinstalace -  napojení NN, rozváděčů, měření, venkovní obvody</v>
      </c>
      <c r="C490" s="203"/>
      <c r="D490" s="202">
        <v>21</v>
      </c>
      <c r="E490" s="289">
        <f>F102</f>
        <v>483416.1</v>
      </c>
      <c r="F490" s="290"/>
      <c r="G490" s="289">
        <f>H102</f>
        <v>57466.400000000009</v>
      </c>
      <c r="H490" s="290"/>
    </row>
    <row r="491" spans="1:8">
      <c r="A491" s="205">
        <f>(SUM(A490,1))</f>
        <v>387</v>
      </c>
      <c r="B491" s="204" t="str">
        <f>B106</f>
        <v>3. Rozváděč RHA</v>
      </c>
      <c r="C491" s="203"/>
      <c r="D491" s="202">
        <v>21</v>
      </c>
      <c r="E491" s="289">
        <f>F134</f>
        <v>253086.3</v>
      </c>
      <c r="F491" s="290"/>
      <c r="G491" s="289">
        <f>H134</f>
        <v>28323.399999999998</v>
      </c>
      <c r="H491" s="290"/>
    </row>
    <row r="492" spans="1:8" ht="16.5">
      <c r="A492" s="205">
        <f>(SUM(A491,1))</f>
        <v>388</v>
      </c>
      <c r="B492" s="204" t="str">
        <f>B138</f>
        <v>4. Rozváděč RA11</v>
      </c>
      <c r="C492" s="203"/>
      <c r="D492" s="202">
        <v>21</v>
      </c>
      <c r="E492" s="289">
        <f>F157</f>
        <v>178999</v>
      </c>
      <c r="F492" s="290"/>
      <c r="G492" s="289">
        <f>H157</f>
        <v>17215.7</v>
      </c>
      <c r="H492" s="290"/>
    </row>
    <row r="493" spans="1:8" ht="16.5">
      <c r="A493" s="205">
        <f>(SUM(A492,1))</f>
        <v>389</v>
      </c>
      <c r="B493" s="204" t="str">
        <f>B161</f>
        <v>5. Rozváděč RA21</v>
      </c>
      <c r="C493" s="203"/>
      <c r="D493" s="202">
        <v>21</v>
      </c>
      <c r="E493" s="289">
        <f>F178</f>
        <v>137337.1</v>
      </c>
      <c r="F493" s="290"/>
      <c r="G493" s="289">
        <f>H178</f>
        <v>11512.199999999999</v>
      </c>
      <c r="H493" s="290"/>
    </row>
    <row r="494" spans="1:8" ht="16.5">
      <c r="A494" s="205">
        <f>(SUM(A493,1))</f>
        <v>390</v>
      </c>
      <c r="B494" s="204" t="str">
        <f>B182</f>
        <v>6. Rozváděč RA22</v>
      </c>
      <c r="C494" s="203"/>
      <c r="D494" s="202">
        <v>21</v>
      </c>
      <c r="E494" s="289">
        <f>F200</f>
        <v>148925.80000000002</v>
      </c>
      <c r="F494" s="290"/>
      <c r="G494" s="289">
        <f>H200</f>
        <v>13250.5</v>
      </c>
      <c r="H494" s="290"/>
    </row>
    <row r="495" spans="1:8" ht="16.5">
      <c r="A495" s="205">
        <f>(SUM(A494,1))</f>
        <v>391</v>
      </c>
      <c r="B495" s="204" t="str">
        <f>B204</f>
        <v>7. Rozváděč RTC</v>
      </c>
      <c r="C495" s="203"/>
      <c r="D495" s="202">
        <v>21</v>
      </c>
      <c r="E495" s="289">
        <f>F222</f>
        <v>36218.1</v>
      </c>
      <c r="F495" s="290"/>
      <c r="G495" s="289">
        <f>H222</f>
        <v>5763.0999999999995</v>
      </c>
      <c r="H495" s="290"/>
    </row>
    <row r="496" spans="1:8" ht="16.5">
      <c r="A496" s="205">
        <f>(SUM(A495,1))</f>
        <v>392</v>
      </c>
      <c r="B496" s="204" t="str">
        <f>B226</f>
        <v>8. Rozváděč RFVE-A</v>
      </c>
      <c r="C496" s="203"/>
      <c r="D496" s="202">
        <v>21</v>
      </c>
      <c r="E496" s="289">
        <f>F242</f>
        <v>36765.4</v>
      </c>
      <c r="F496" s="290"/>
      <c r="G496" s="289">
        <f>H242</f>
        <v>5150.3999999999996</v>
      </c>
      <c r="H496" s="290"/>
    </row>
    <row r="497" spans="1:11">
      <c r="A497" s="205">
        <f>(SUM(A496,1))</f>
        <v>393</v>
      </c>
      <c r="B497" s="204" t="str">
        <f>B246</f>
        <v>9. Svítidla vč. zdrojů a předřadníků</v>
      </c>
      <c r="C497" s="203"/>
      <c r="D497" s="202">
        <v>21</v>
      </c>
      <c r="E497" s="289">
        <f>F271</f>
        <v>1064371.6000000001</v>
      </c>
      <c r="F497" s="290"/>
      <c r="G497" s="289">
        <f>H271</f>
        <v>113511.7</v>
      </c>
      <c r="H497" s="290"/>
    </row>
    <row r="498" spans="1:11" ht="24.75">
      <c r="A498" s="205">
        <f>(SUM(A497,1))</f>
        <v>394</v>
      </c>
      <c r="B498" s="204" t="str">
        <f>B275</f>
        <v>10. Hromosvody a uzemnění</v>
      </c>
      <c r="C498" s="203"/>
      <c r="D498" s="202">
        <v>21</v>
      </c>
      <c r="E498" s="289">
        <f>F301</f>
        <v>93351.5</v>
      </c>
      <c r="F498" s="290"/>
      <c r="G498" s="289">
        <f>H301</f>
        <v>84093.5</v>
      </c>
      <c r="H498" s="290"/>
    </row>
    <row r="499" spans="1:11">
      <c r="A499" s="205">
        <f>(SUM(A498,1))</f>
        <v>395</v>
      </c>
      <c r="B499" s="204" t="str">
        <f>B305</f>
        <v>11. Strukturovaná kabeláž, telekomunikace, A/V, Domovní telefon</v>
      </c>
      <c r="C499" s="203"/>
      <c r="D499" s="202">
        <v>21</v>
      </c>
      <c r="E499" s="289">
        <f>F364</f>
        <v>877536.20000000019</v>
      </c>
      <c r="F499" s="290"/>
      <c r="G499" s="289">
        <f>H364</f>
        <v>237049.59999999998</v>
      </c>
      <c r="H499" s="290"/>
    </row>
    <row r="500" spans="1:11">
      <c r="A500" s="205">
        <f>(SUM(A499,1))</f>
        <v>396</v>
      </c>
      <c r="B500" s="204" t="str">
        <f>B368</f>
        <v>12. SE-PA - Sestra - pacient</v>
      </c>
      <c r="C500" s="203"/>
      <c r="D500" s="202">
        <v>21</v>
      </c>
      <c r="E500" s="289">
        <f>F398</f>
        <v>473548.7</v>
      </c>
      <c r="F500" s="290"/>
      <c r="G500" s="289">
        <f>H398</f>
        <v>159756.29999999999</v>
      </c>
      <c r="H500" s="290"/>
    </row>
    <row r="501" spans="1:11" ht="24.75">
      <c r="A501" s="205">
        <f>(SUM(A500,1))</f>
        <v>397</v>
      </c>
      <c r="B501" s="204" t="str">
        <f>B402</f>
        <v>13. Satelitní a televizní systém</v>
      </c>
      <c r="C501" s="203"/>
      <c r="D501" s="202">
        <v>21</v>
      </c>
      <c r="E501" s="289">
        <f>F421</f>
        <v>133888.5</v>
      </c>
      <c r="F501" s="290"/>
      <c r="G501" s="289">
        <f>H421</f>
        <v>55452.499999999993</v>
      </c>
      <c r="H501" s="290"/>
    </row>
    <row r="502" spans="1:11">
      <c r="A502" s="205">
        <f>(SUM(A501,1))</f>
        <v>398</v>
      </c>
      <c r="B502" s="204" t="str">
        <f>B425</f>
        <v>14. PZTS (EZS) - požární detekce</v>
      </c>
      <c r="C502" s="203"/>
      <c r="D502" s="202">
        <v>21</v>
      </c>
      <c r="E502" s="289">
        <f>F440</f>
        <v>142931</v>
      </c>
      <c r="F502" s="290"/>
      <c r="G502" s="289">
        <f>H440</f>
        <v>34951.4</v>
      </c>
      <c r="H502" s="290"/>
    </row>
    <row r="503" spans="1:11">
      <c r="A503" s="205">
        <f>(SUM(A502,1))</f>
        <v>399</v>
      </c>
      <c r="B503" s="204" t="str">
        <f>B444</f>
        <v>15. Dodávky technologie FVE</v>
      </c>
      <c r="C503" s="203"/>
      <c r="D503" s="202">
        <v>21</v>
      </c>
      <c r="E503" s="289">
        <f>F459</f>
        <v>1910233.4000000001</v>
      </c>
      <c r="F503" s="290"/>
      <c r="G503" s="289">
        <f>H459</f>
        <v>103730</v>
      </c>
      <c r="H503" s="290"/>
    </row>
    <row r="504" spans="1:11">
      <c r="A504" s="205">
        <f>(SUM(A503,1))</f>
        <v>400</v>
      </c>
      <c r="B504" s="204" t="str">
        <f>B463</f>
        <v>16. HZS, PD, revize</v>
      </c>
      <c r="C504" s="203"/>
      <c r="D504" s="202">
        <v>21</v>
      </c>
      <c r="E504" s="289">
        <f>F473</f>
        <v>0</v>
      </c>
      <c r="F504" s="290"/>
      <c r="G504" s="289">
        <f>H473</f>
        <v>151000</v>
      </c>
      <c r="H504" s="290"/>
    </row>
    <row r="505" spans="1:11">
      <c r="A505" s="201"/>
      <c r="B505" s="198"/>
      <c r="C505" s="200"/>
      <c r="D505" s="200"/>
      <c r="E505" s="200"/>
      <c r="F505" s="199"/>
      <c r="G505" s="198"/>
      <c r="H505" s="197"/>
    </row>
    <row r="506" spans="1:11">
      <c r="A506" s="196"/>
      <c r="B506" s="195"/>
      <c r="C506" s="192"/>
      <c r="D506" s="194"/>
      <c r="E506" s="192"/>
      <c r="F506" s="193"/>
      <c r="G506" s="192"/>
      <c r="H506" s="191"/>
    </row>
    <row r="507" spans="1:11">
      <c r="A507" s="190">
        <f>(SUM(A504,1))</f>
        <v>401</v>
      </c>
      <c r="B507" s="189" t="s">
        <v>2168</v>
      </c>
      <c r="C507" s="188"/>
      <c r="D507" s="188"/>
      <c r="E507" s="293">
        <f>SUM(E489:F504)</f>
        <v>7607314.1000000006</v>
      </c>
      <c r="F507" s="294"/>
      <c r="G507" s="295">
        <f>SUM(G489:H504)</f>
        <v>1534096.5999999996</v>
      </c>
      <c r="H507" s="294"/>
    </row>
    <row r="510" spans="1:11">
      <c r="A510" s="178">
        <f>(SUM(A507,1))</f>
        <v>402</v>
      </c>
      <c r="B510" s="186" t="s">
        <v>2167</v>
      </c>
      <c r="C510" s="186"/>
      <c r="D510" s="186"/>
      <c r="E510" s="292">
        <f>SUM(E507:H507)</f>
        <v>9141410.6999999993</v>
      </c>
      <c r="F510" s="292"/>
      <c r="G510" s="185" t="s">
        <v>2166</v>
      </c>
    </row>
    <row r="511" spans="1:11">
      <c r="B511" s="184"/>
      <c r="K511" s="183"/>
    </row>
    <row r="513" spans="1:8">
      <c r="B513" s="182">
        <f>E513+G513</f>
        <v>0</v>
      </c>
      <c r="C513" s="180"/>
      <c r="D513" s="179">
        <v>15</v>
      </c>
      <c r="E513" s="286">
        <f>SUM(SUMIF(D489:D504,D513,E489:E504),SUMIF(D489:D504,D513,G489:G504))</f>
        <v>0</v>
      </c>
      <c r="F513" s="286"/>
      <c r="G513" s="287">
        <f>CEILING(E513*D513/100,0.1)</f>
        <v>0</v>
      </c>
      <c r="H513" s="288"/>
    </row>
    <row r="514" spans="1:8">
      <c r="B514" s="181">
        <f>E514+G514</f>
        <v>11061107</v>
      </c>
      <c r="C514" s="180"/>
      <c r="D514" s="179">
        <v>21</v>
      </c>
      <c r="E514" s="286">
        <f>SUM(SUMIF(D489:D504,D514,E489:E504),SUMIF(D489:D504,D514,G489:G504))</f>
        <v>9141410.6999999993</v>
      </c>
      <c r="F514" s="286"/>
      <c r="G514" s="287">
        <f>CEILING(E514*D514/100,0.1)</f>
        <v>1919696.3</v>
      </c>
      <c r="H514" s="288"/>
    </row>
    <row r="517" spans="1:8">
      <c r="A517" s="178">
        <f>(SUM(A510,1))</f>
        <v>403</v>
      </c>
      <c r="B517" s="177" t="s">
        <v>2165</v>
      </c>
      <c r="E517" s="291">
        <f>SUM(B513:B514)</f>
        <v>11061107</v>
      </c>
      <c r="F517" s="291"/>
      <c r="G517" s="176" t="s">
        <v>2164</v>
      </c>
    </row>
    <row r="518" spans="1:8" ht="13.5" thickBot="1">
      <c r="A518" s="174"/>
      <c r="B518" s="175"/>
      <c r="C518" s="174"/>
      <c r="D518" s="174"/>
      <c r="E518" s="174"/>
      <c r="F518" s="174"/>
      <c r="G518" s="174"/>
      <c r="H518" s="174"/>
    </row>
    <row r="519" spans="1:8" ht="13.5" thickTop="1"/>
  </sheetData>
  <mergeCells count="75">
    <mergeCell ref="E204:F204"/>
    <mergeCell ref="G204:H204"/>
    <mergeCell ref="E226:F226"/>
    <mergeCell ref="G226:H226"/>
    <mergeCell ref="E1:F1"/>
    <mergeCell ref="G1:H1"/>
    <mergeCell ref="E81:F81"/>
    <mergeCell ref="G81:H81"/>
    <mergeCell ref="E106:F106"/>
    <mergeCell ref="G106:H106"/>
    <mergeCell ref="E246:F246"/>
    <mergeCell ref="G246:H246"/>
    <mergeCell ref="E275:F275"/>
    <mergeCell ref="G275:H275"/>
    <mergeCell ref="E138:F138"/>
    <mergeCell ref="G138:H138"/>
    <mergeCell ref="E161:F161"/>
    <mergeCell ref="G161:H161"/>
    <mergeCell ref="E182:F182"/>
    <mergeCell ref="G182:H182"/>
    <mergeCell ref="E305:F305"/>
    <mergeCell ref="G305:H305"/>
    <mergeCell ref="E368:F368"/>
    <mergeCell ref="G368:H368"/>
    <mergeCell ref="E402:F402"/>
    <mergeCell ref="G402:H402"/>
    <mergeCell ref="G491:H491"/>
    <mergeCell ref="E425:F425"/>
    <mergeCell ref="G425:H425"/>
    <mergeCell ref="E463:F463"/>
    <mergeCell ref="G463:H463"/>
    <mergeCell ref="E487:F487"/>
    <mergeCell ref="G487:H487"/>
    <mergeCell ref="E444:F444"/>
    <mergeCell ref="G444:H444"/>
    <mergeCell ref="E495:F495"/>
    <mergeCell ref="G495:H495"/>
    <mergeCell ref="E496:F496"/>
    <mergeCell ref="G496:H496"/>
    <mergeCell ref="B488:D488"/>
    <mergeCell ref="E489:F489"/>
    <mergeCell ref="G489:H489"/>
    <mergeCell ref="E490:F490"/>
    <mergeCell ref="G490:H490"/>
    <mergeCell ref="E491:F491"/>
    <mergeCell ref="E497:F497"/>
    <mergeCell ref="G497:H497"/>
    <mergeCell ref="E498:F498"/>
    <mergeCell ref="G498:H498"/>
    <mergeCell ref="E492:F492"/>
    <mergeCell ref="G492:H492"/>
    <mergeCell ref="E493:F493"/>
    <mergeCell ref="G493:H493"/>
    <mergeCell ref="E494:F494"/>
    <mergeCell ref="G494:H494"/>
    <mergeCell ref="E514:F514"/>
    <mergeCell ref="G514:H514"/>
    <mergeCell ref="E503:F503"/>
    <mergeCell ref="G503:H503"/>
    <mergeCell ref="E499:F499"/>
    <mergeCell ref="G499:H499"/>
    <mergeCell ref="E500:F500"/>
    <mergeCell ref="G500:H500"/>
    <mergeCell ref="E501:F501"/>
    <mergeCell ref="G501:H501"/>
    <mergeCell ref="E517:F517"/>
    <mergeCell ref="E502:F502"/>
    <mergeCell ref="G502:H502"/>
    <mergeCell ref="E504:F504"/>
    <mergeCell ref="G504:H504"/>
    <mergeCell ref="E507:F507"/>
    <mergeCell ref="G507:H507"/>
    <mergeCell ref="E510:F510"/>
    <mergeCell ref="E513:F513"/>
    <mergeCell ref="G513:H513"/>
  </mergeCells>
  <printOptions horizontalCentered="1"/>
  <pageMargins left="0.39370078740157483" right="0.39370078740157483" top="0.59055118110236227" bottom="0.78740157480314965" header="0.39370078740157483" footer="0.39370078740157483"/>
  <pageSetup paperSize="9" orientation="portrait" r:id="rId1"/>
  <headerFooter alignWithMargins="0">
    <oddHeader>&amp;C&amp;6Elektroinstalace - &amp;"Arial CE,Tučné"Rozvoj komunitních sociálních služeb DOZP v lokalitě Jičín - BUDOVA A - Aktualizace PD 11/2022</oddHeader>
    <oddFooter>&amp;L&amp;6Vypracoval :
Roman Hladík&amp;C&amp;6Stránka &amp;P z &amp;N&amp;R&amp;6Datum vytvoření - 7.11.2022
Datum tisku - &amp;D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BD18BE-F601-4C60-83C8-D3B575F643FC}">
  <sheetPr>
    <pageSetUpPr fitToPage="1"/>
  </sheetPr>
  <dimension ref="B2:BM162"/>
  <sheetViews>
    <sheetView showGridLines="0" workbookViewId="0"/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</cols>
  <sheetData>
    <row r="2" spans="2:46" ht="36.950000000000003" customHeight="1">
      <c r="L2" s="269" t="s">
        <v>5</v>
      </c>
      <c r="M2" s="250"/>
      <c r="N2" s="250"/>
      <c r="O2" s="250"/>
      <c r="P2" s="250"/>
      <c r="Q2" s="250"/>
      <c r="R2" s="250"/>
      <c r="S2" s="250"/>
      <c r="T2" s="250"/>
      <c r="U2" s="250"/>
      <c r="V2" s="250"/>
      <c r="AT2" s="15" t="s">
        <v>2163</v>
      </c>
    </row>
    <row r="3" spans="2:46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143</v>
      </c>
    </row>
    <row r="4" spans="2:46" ht="24.95" customHeight="1">
      <c r="B4" s="18"/>
      <c r="D4" s="19" t="s">
        <v>89</v>
      </c>
      <c r="L4" s="18"/>
      <c r="M4" s="83" t="s">
        <v>10</v>
      </c>
      <c r="AT4" s="15" t="s">
        <v>3</v>
      </c>
    </row>
    <row r="5" spans="2:46" ht="6.95" customHeight="1">
      <c r="B5" s="18"/>
      <c r="L5" s="18"/>
    </row>
    <row r="6" spans="2:46" ht="12" customHeight="1">
      <c r="B6" s="18"/>
      <c r="D6" s="24" t="s">
        <v>14</v>
      </c>
      <c r="L6" s="18"/>
    </row>
    <row r="7" spans="2:46" ht="26.25" customHeight="1">
      <c r="B7" s="18"/>
      <c r="E7" s="283" t="s">
        <v>2465</v>
      </c>
      <c r="F7" s="284"/>
      <c r="G7" s="284"/>
      <c r="H7" s="284"/>
      <c r="L7" s="18"/>
    </row>
    <row r="8" spans="2:46" s="1" customFormat="1" ht="12" customHeight="1">
      <c r="B8" s="27"/>
      <c r="D8" s="24" t="s">
        <v>90</v>
      </c>
      <c r="L8" s="27"/>
    </row>
    <row r="9" spans="2:46" s="1" customFormat="1" ht="16.5" customHeight="1">
      <c r="B9" s="27"/>
      <c r="E9" s="270" t="s">
        <v>2162</v>
      </c>
      <c r="F9" s="285"/>
      <c r="G9" s="285"/>
      <c r="H9" s="285"/>
      <c r="L9" s="27"/>
    </row>
    <row r="10" spans="2:46" s="1" customFormat="1">
      <c r="B10" s="27"/>
      <c r="L10" s="27"/>
    </row>
    <row r="11" spans="2:46" s="1" customFormat="1" ht="12" customHeight="1">
      <c r="B11" s="27"/>
      <c r="D11" s="24" t="s">
        <v>16</v>
      </c>
      <c r="F11" s="22" t="s">
        <v>1</v>
      </c>
      <c r="I11" s="24" t="s">
        <v>17</v>
      </c>
      <c r="J11" s="22" t="s">
        <v>1</v>
      </c>
      <c r="L11" s="27"/>
    </row>
    <row r="12" spans="2:46" s="1" customFormat="1" ht="12" customHeight="1">
      <c r="B12" s="27"/>
      <c r="D12" s="24" t="s">
        <v>18</v>
      </c>
      <c r="F12" s="22" t="s">
        <v>1514</v>
      </c>
      <c r="I12" s="24" t="s">
        <v>20</v>
      </c>
      <c r="J12" s="47" t="s">
        <v>2466</v>
      </c>
      <c r="L12" s="27"/>
    </row>
    <row r="13" spans="2:46" s="1" customFormat="1" ht="10.9" customHeight="1">
      <c r="B13" s="27"/>
      <c r="L13" s="27"/>
    </row>
    <row r="14" spans="2:46" s="1" customFormat="1" ht="12" customHeight="1">
      <c r="B14" s="27"/>
      <c r="D14" s="24" t="s">
        <v>21</v>
      </c>
      <c r="I14" s="24" t="s">
        <v>22</v>
      </c>
      <c r="J14" s="22" t="s">
        <v>1</v>
      </c>
      <c r="L14" s="27"/>
    </row>
    <row r="15" spans="2:46" s="1" customFormat="1" ht="18" customHeight="1">
      <c r="B15" s="27"/>
      <c r="E15" s="22" t="s">
        <v>2467</v>
      </c>
      <c r="I15" s="24" t="s">
        <v>24</v>
      </c>
      <c r="J15" s="22" t="s">
        <v>1</v>
      </c>
      <c r="L15" s="27"/>
    </row>
    <row r="16" spans="2:46" s="1" customFormat="1" ht="6.95" customHeight="1">
      <c r="B16" s="27"/>
      <c r="L16" s="27"/>
    </row>
    <row r="17" spans="2:12" s="1" customFormat="1" ht="12" customHeight="1">
      <c r="B17" s="27"/>
      <c r="D17" s="24" t="s">
        <v>25</v>
      </c>
      <c r="I17" s="24" t="s">
        <v>22</v>
      </c>
      <c r="J17" s="22" t="s">
        <v>1</v>
      </c>
      <c r="L17" s="27"/>
    </row>
    <row r="18" spans="2:12" s="1" customFormat="1" ht="18" customHeight="1">
      <c r="B18" s="27"/>
      <c r="E18" s="249" t="s">
        <v>2467</v>
      </c>
      <c r="F18" s="249"/>
      <c r="G18" s="249"/>
      <c r="H18" s="249"/>
      <c r="I18" s="24" t="s">
        <v>24</v>
      </c>
      <c r="J18" s="22" t="s">
        <v>1</v>
      </c>
      <c r="L18" s="27"/>
    </row>
    <row r="19" spans="2:12" s="1" customFormat="1" ht="6.95" customHeight="1">
      <c r="B19" s="27"/>
      <c r="L19" s="27"/>
    </row>
    <row r="20" spans="2:12" s="1" customFormat="1" ht="12" customHeight="1">
      <c r="B20" s="27"/>
      <c r="D20" s="24" t="s">
        <v>27</v>
      </c>
      <c r="I20" s="24" t="s">
        <v>22</v>
      </c>
      <c r="J20" s="22" t="s">
        <v>1</v>
      </c>
      <c r="L20" s="27"/>
    </row>
    <row r="21" spans="2:12" s="1" customFormat="1" ht="18" customHeight="1">
      <c r="B21" s="27"/>
      <c r="E21" s="22" t="s">
        <v>2467</v>
      </c>
      <c r="I21" s="24" t="s">
        <v>24</v>
      </c>
      <c r="J21" s="22" t="s">
        <v>1</v>
      </c>
      <c r="L21" s="27"/>
    </row>
    <row r="22" spans="2:12" s="1" customFormat="1" ht="6.95" customHeight="1">
      <c r="B22" s="27"/>
      <c r="L22" s="27"/>
    </row>
    <row r="23" spans="2:12" s="1" customFormat="1" ht="12" customHeight="1">
      <c r="B23" s="27"/>
      <c r="D23" s="24" t="s">
        <v>30</v>
      </c>
      <c r="I23" s="24" t="s">
        <v>22</v>
      </c>
      <c r="J23" s="22" t="s">
        <v>1</v>
      </c>
      <c r="L23" s="27"/>
    </row>
    <row r="24" spans="2:12" s="1" customFormat="1" ht="18" customHeight="1">
      <c r="B24" s="27"/>
      <c r="E24" s="22" t="s">
        <v>2467</v>
      </c>
      <c r="I24" s="24" t="s">
        <v>24</v>
      </c>
      <c r="J24" s="22" t="s">
        <v>1</v>
      </c>
      <c r="L24" s="27"/>
    </row>
    <row r="25" spans="2:12" s="1" customFormat="1" ht="6.95" customHeight="1">
      <c r="B25" s="27"/>
      <c r="L25" s="27"/>
    </row>
    <row r="26" spans="2:12" s="1" customFormat="1" ht="12" customHeight="1">
      <c r="B26" s="27"/>
      <c r="D26" s="24" t="s">
        <v>32</v>
      </c>
      <c r="L26" s="27"/>
    </row>
    <row r="27" spans="2:12" s="7" customFormat="1" ht="16.5" customHeight="1">
      <c r="B27" s="84"/>
      <c r="E27" s="252" t="s">
        <v>1</v>
      </c>
      <c r="F27" s="252"/>
      <c r="G27" s="252"/>
      <c r="H27" s="252"/>
      <c r="L27" s="84"/>
    </row>
    <row r="28" spans="2:12" s="1" customFormat="1" ht="6.95" customHeight="1">
      <c r="B28" s="27"/>
      <c r="L28" s="27"/>
    </row>
    <row r="29" spans="2:12" s="1" customFormat="1" ht="6.95" customHeight="1">
      <c r="B29" s="27"/>
      <c r="D29" s="48"/>
      <c r="E29" s="48"/>
      <c r="F29" s="48"/>
      <c r="G29" s="48"/>
      <c r="H29" s="48"/>
      <c r="I29" s="48"/>
      <c r="J29" s="48"/>
      <c r="K29" s="48"/>
      <c r="L29" s="27"/>
    </row>
    <row r="30" spans="2:12" s="1" customFormat="1" ht="25.35" customHeight="1">
      <c r="B30" s="27"/>
      <c r="D30" s="85" t="s">
        <v>33</v>
      </c>
      <c r="J30" s="61">
        <f>ROUND(J119, 2)</f>
        <v>301561.90000000002</v>
      </c>
      <c r="L30" s="27"/>
    </row>
    <row r="31" spans="2:12" s="1" customFormat="1" ht="6.95" customHeight="1">
      <c r="B31" s="27"/>
      <c r="D31" s="48"/>
      <c r="E31" s="48"/>
      <c r="F31" s="48"/>
      <c r="G31" s="48"/>
      <c r="H31" s="48"/>
      <c r="I31" s="48"/>
      <c r="J31" s="48"/>
      <c r="K31" s="48"/>
      <c r="L31" s="27"/>
    </row>
    <row r="32" spans="2:12" s="1" customFormat="1" ht="14.45" customHeight="1">
      <c r="B32" s="27"/>
      <c r="F32" s="30" t="s">
        <v>35</v>
      </c>
      <c r="I32" s="30" t="s">
        <v>34</v>
      </c>
      <c r="J32" s="30" t="s">
        <v>36</v>
      </c>
      <c r="L32" s="27"/>
    </row>
    <row r="33" spans="2:12" s="1" customFormat="1" ht="14.45" customHeight="1">
      <c r="B33" s="27"/>
      <c r="D33" s="50" t="s">
        <v>37</v>
      </c>
      <c r="E33" s="24" t="s">
        <v>38</v>
      </c>
      <c r="F33" s="86">
        <f>ROUND((SUM(BE119:BE161)),  2)</f>
        <v>301561.90000000002</v>
      </c>
      <c r="I33" s="87">
        <v>0.21</v>
      </c>
      <c r="J33" s="86">
        <f>ROUND(((SUM(BE119:BE161))*I33),  2)</f>
        <v>63328</v>
      </c>
      <c r="L33" s="27"/>
    </row>
    <row r="34" spans="2:12" s="1" customFormat="1" ht="14.45" customHeight="1">
      <c r="B34" s="27"/>
      <c r="E34" s="24" t="s">
        <v>39</v>
      </c>
      <c r="F34" s="86">
        <f>ROUND((SUM(BF119:BF161)),  2)</f>
        <v>0</v>
      </c>
      <c r="I34" s="87">
        <v>0.15</v>
      </c>
      <c r="J34" s="86">
        <f>ROUND(((SUM(BF119:BF161))*I34),  2)</f>
        <v>0</v>
      </c>
      <c r="L34" s="27"/>
    </row>
    <row r="35" spans="2:12" s="1" customFormat="1" ht="14.45" hidden="1" customHeight="1">
      <c r="B35" s="27"/>
      <c r="E35" s="24" t="s">
        <v>40</v>
      </c>
      <c r="F35" s="86">
        <f>ROUND((SUM(BG119:BG161)),  2)</f>
        <v>0</v>
      </c>
      <c r="I35" s="87">
        <v>0.21</v>
      </c>
      <c r="J35" s="86">
        <f>0</f>
        <v>0</v>
      </c>
      <c r="L35" s="27"/>
    </row>
    <row r="36" spans="2:12" s="1" customFormat="1" ht="14.45" hidden="1" customHeight="1">
      <c r="B36" s="27"/>
      <c r="E36" s="24" t="s">
        <v>41</v>
      </c>
      <c r="F36" s="86">
        <f>ROUND((SUM(BH119:BH161)),  2)</f>
        <v>0</v>
      </c>
      <c r="I36" s="87">
        <v>0.15</v>
      </c>
      <c r="J36" s="86">
        <f>0</f>
        <v>0</v>
      </c>
      <c r="L36" s="27"/>
    </row>
    <row r="37" spans="2:12" s="1" customFormat="1" ht="14.45" hidden="1" customHeight="1">
      <c r="B37" s="27"/>
      <c r="E37" s="24" t="s">
        <v>42</v>
      </c>
      <c r="F37" s="86">
        <f>ROUND((SUM(BI119:BI161)),  2)</f>
        <v>0</v>
      </c>
      <c r="I37" s="87">
        <v>0</v>
      </c>
      <c r="J37" s="86">
        <f>0</f>
        <v>0</v>
      </c>
      <c r="L37" s="27"/>
    </row>
    <row r="38" spans="2:12" s="1" customFormat="1" ht="6.95" customHeight="1">
      <c r="B38" s="27"/>
      <c r="L38" s="27"/>
    </row>
    <row r="39" spans="2:12" s="1" customFormat="1" ht="25.35" customHeight="1">
      <c r="B39" s="27"/>
      <c r="C39" s="88"/>
      <c r="D39" s="89" t="s">
        <v>43</v>
      </c>
      <c r="E39" s="52"/>
      <c r="F39" s="52"/>
      <c r="G39" s="90" t="s">
        <v>44</v>
      </c>
      <c r="H39" s="91" t="s">
        <v>45</v>
      </c>
      <c r="I39" s="52"/>
      <c r="J39" s="92">
        <f>SUM(J30:J37)</f>
        <v>364889.9</v>
      </c>
      <c r="K39" s="93"/>
      <c r="L39" s="27"/>
    </row>
    <row r="40" spans="2:12" s="1" customFormat="1" ht="14.45" customHeight="1">
      <c r="B40" s="27"/>
      <c r="L40" s="27"/>
    </row>
    <row r="41" spans="2:12" ht="14.45" customHeight="1">
      <c r="B41" s="18"/>
      <c r="L41" s="18"/>
    </row>
    <row r="42" spans="2:12" ht="14.45" customHeight="1">
      <c r="B42" s="18"/>
      <c r="L42" s="18"/>
    </row>
    <row r="43" spans="2:12" ht="14.45" customHeight="1">
      <c r="B43" s="18"/>
      <c r="L43" s="18"/>
    </row>
    <row r="44" spans="2:12" ht="14.45" customHeight="1">
      <c r="B44" s="18"/>
      <c r="L44" s="18"/>
    </row>
    <row r="45" spans="2:12" ht="14.45" customHeight="1">
      <c r="B45" s="18"/>
      <c r="L45" s="18"/>
    </row>
    <row r="46" spans="2:12" ht="14.45" customHeight="1">
      <c r="B46" s="18"/>
      <c r="L46" s="18"/>
    </row>
    <row r="47" spans="2:12" ht="14.45" customHeight="1">
      <c r="B47" s="18"/>
      <c r="L47" s="18"/>
    </row>
    <row r="48" spans="2:12" ht="14.45" customHeight="1">
      <c r="B48" s="18"/>
      <c r="L48" s="18"/>
    </row>
    <row r="49" spans="2:12" ht="14.45" customHeight="1">
      <c r="B49" s="18"/>
      <c r="L49" s="18"/>
    </row>
    <row r="50" spans="2:12" s="1" customFormat="1" ht="14.45" customHeight="1">
      <c r="B50" s="27"/>
      <c r="D50" s="36" t="s">
        <v>46</v>
      </c>
      <c r="E50" s="37"/>
      <c r="F50" s="37"/>
      <c r="G50" s="36" t="s">
        <v>47</v>
      </c>
      <c r="H50" s="37"/>
      <c r="I50" s="37"/>
      <c r="J50" s="37"/>
      <c r="K50" s="37"/>
      <c r="L50" s="27"/>
    </row>
    <row r="51" spans="2:12">
      <c r="B51" s="18"/>
      <c r="L51" s="18"/>
    </row>
    <row r="52" spans="2:12">
      <c r="B52" s="18"/>
      <c r="L52" s="18"/>
    </row>
    <row r="53" spans="2:12">
      <c r="B53" s="18"/>
      <c r="L53" s="18"/>
    </row>
    <row r="54" spans="2:12">
      <c r="B54" s="18"/>
      <c r="L54" s="18"/>
    </row>
    <row r="55" spans="2:12">
      <c r="B55" s="18"/>
      <c r="L55" s="18"/>
    </row>
    <row r="56" spans="2:12">
      <c r="B56" s="18"/>
      <c r="L56" s="18"/>
    </row>
    <row r="57" spans="2:12">
      <c r="B57" s="18"/>
      <c r="L57" s="18"/>
    </row>
    <row r="58" spans="2:12">
      <c r="B58" s="18"/>
      <c r="L58" s="18"/>
    </row>
    <row r="59" spans="2:12">
      <c r="B59" s="18"/>
      <c r="L59" s="18"/>
    </row>
    <row r="60" spans="2:12">
      <c r="B60" s="18"/>
      <c r="L60" s="18"/>
    </row>
    <row r="61" spans="2:12" s="1" customFormat="1" ht="12.75">
      <c r="B61" s="27"/>
      <c r="D61" s="38" t="s">
        <v>48</v>
      </c>
      <c r="E61" s="29"/>
      <c r="F61" s="94" t="s">
        <v>49</v>
      </c>
      <c r="G61" s="38" t="s">
        <v>48</v>
      </c>
      <c r="H61" s="29"/>
      <c r="I61" s="29"/>
      <c r="J61" s="95" t="s">
        <v>49</v>
      </c>
      <c r="K61" s="29"/>
      <c r="L61" s="27"/>
    </row>
    <row r="62" spans="2:12">
      <c r="B62" s="18"/>
      <c r="L62" s="18"/>
    </row>
    <row r="63" spans="2:12">
      <c r="B63" s="18"/>
      <c r="L63" s="18"/>
    </row>
    <row r="64" spans="2:12">
      <c r="B64" s="18"/>
      <c r="L64" s="18"/>
    </row>
    <row r="65" spans="2:12" s="1" customFormat="1" ht="12.75">
      <c r="B65" s="27"/>
      <c r="D65" s="36" t="s">
        <v>50</v>
      </c>
      <c r="E65" s="37"/>
      <c r="F65" s="37"/>
      <c r="G65" s="36" t="s">
        <v>51</v>
      </c>
      <c r="H65" s="37"/>
      <c r="I65" s="37"/>
      <c r="J65" s="37"/>
      <c r="K65" s="37"/>
      <c r="L65" s="27"/>
    </row>
    <row r="66" spans="2:12">
      <c r="B66" s="18"/>
      <c r="L66" s="18"/>
    </row>
    <row r="67" spans="2:12">
      <c r="B67" s="18"/>
      <c r="L67" s="18"/>
    </row>
    <row r="68" spans="2:12">
      <c r="B68" s="18"/>
      <c r="L68" s="18"/>
    </row>
    <row r="69" spans="2:12">
      <c r="B69" s="18"/>
      <c r="L69" s="18"/>
    </row>
    <row r="70" spans="2:12">
      <c r="B70" s="18"/>
      <c r="L70" s="18"/>
    </row>
    <row r="71" spans="2:12">
      <c r="B71" s="18"/>
      <c r="L71" s="18"/>
    </row>
    <row r="72" spans="2:12">
      <c r="B72" s="18"/>
      <c r="L72" s="18"/>
    </row>
    <row r="73" spans="2:12">
      <c r="B73" s="18"/>
      <c r="L73" s="18"/>
    </row>
    <row r="74" spans="2:12">
      <c r="B74" s="18"/>
      <c r="L74" s="18"/>
    </row>
    <row r="75" spans="2:12">
      <c r="B75" s="18"/>
      <c r="L75" s="18"/>
    </row>
    <row r="76" spans="2:12" s="1" customFormat="1" ht="12.75">
      <c r="B76" s="27"/>
      <c r="D76" s="38" t="s">
        <v>48</v>
      </c>
      <c r="E76" s="29"/>
      <c r="F76" s="94" t="s">
        <v>49</v>
      </c>
      <c r="G76" s="38" t="s">
        <v>48</v>
      </c>
      <c r="H76" s="29"/>
      <c r="I76" s="29"/>
      <c r="J76" s="95" t="s">
        <v>49</v>
      </c>
      <c r="K76" s="29"/>
      <c r="L76" s="27"/>
    </row>
    <row r="77" spans="2:12" s="1" customFormat="1" ht="14.45" customHeight="1"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27"/>
    </row>
    <row r="81" spans="2:47" s="1" customFormat="1" ht="6.95" customHeight="1"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27"/>
    </row>
    <row r="82" spans="2:47" s="1" customFormat="1" ht="24.95" customHeight="1">
      <c r="B82" s="27"/>
      <c r="C82" s="19" t="s">
        <v>92</v>
      </c>
      <c r="L82" s="27"/>
    </row>
    <row r="83" spans="2:47" s="1" customFormat="1" ht="6.95" customHeight="1">
      <c r="B83" s="27"/>
      <c r="L83" s="27"/>
    </row>
    <row r="84" spans="2:47" s="1" customFormat="1" ht="12" customHeight="1">
      <c r="B84" s="27"/>
      <c r="C84" s="24" t="s">
        <v>14</v>
      </c>
      <c r="L84" s="27"/>
    </row>
    <row r="85" spans="2:47" s="1" customFormat="1" ht="26.25" customHeight="1">
      <c r="B85" s="27"/>
      <c r="E85" s="283" t="str">
        <f>E7</f>
        <v>Rozvoj komunitních sociálních služeb DOZP v lokalitě Jičín - aktualizace PD - změna PD 11/2022</v>
      </c>
      <c r="F85" s="284"/>
      <c r="G85" s="284"/>
      <c r="H85" s="284"/>
      <c r="L85" s="27"/>
    </row>
    <row r="86" spans="2:47" s="1" customFormat="1" ht="12" customHeight="1">
      <c r="B86" s="27"/>
      <c r="C86" s="24" t="s">
        <v>90</v>
      </c>
      <c r="L86" s="27"/>
    </row>
    <row r="87" spans="2:47" s="1" customFormat="1" ht="16.5" customHeight="1">
      <c r="B87" s="27"/>
      <c r="E87" s="270" t="str">
        <f>E9</f>
        <v>Objekt A,B - Vodovodní přípojka</v>
      </c>
      <c r="F87" s="285"/>
      <c r="G87" s="285"/>
      <c r="H87" s="285"/>
      <c r="L87" s="27"/>
    </row>
    <row r="88" spans="2:47" s="1" customFormat="1" ht="6.95" customHeight="1">
      <c r="B88" s="27"/>
      <c r="L88" s="27"/>
    </row>
    <row r="89" spans="2:47" s="1" customFormat="1" ht="12" customHeight="1">
      <c r="B89" s="27"/>
      <c r="C89" s="24" t="s">
        <v>18</v>
      </c>
      <c r="F89" s="22" t="str">
        <f>F12</f>
        <v>Jičín</v>
      </c>
      <c r="I89" s="24" t="s">
        <v>20</v>
      </c>
      <c r="J89" s="47" t="str">
        <f>IF(J12="","",J12)</f>
        <v>15. 3. 2022</v>
      </c>
      <c r="L89" s="27"/>
    </row>
    <row r="90" spans="2:47" s="1" customFormat="1" ht="6.95" customHeight="1">
      <c r="B90" s="27"/>
      <c r="L90" s="27"/>
    </row>
    <row r="91" spans="2:47" s="1" customFormat="1" ht="15.2" customHeight="1">
      <c r="B91" s="27"/>
      <c r="C91" s="24" t="s">
        <v>21</v>
      </c>
      <c r="F91" s="22" t="str">
        <f>E15</f>
        <v xml:space="preserve"> </v>
      </c>
      <c r="I91" s="24" t="s">
        <v>27</v>
      </c>
      <c r="J91" s="25" t="str">
        <f>E21</f>
        <v xml:space="preserve"> </v>
      </c>
      <c r="L91" s="27"/>
    </row>
    <row r="92" spans="2:47" s="1" customFormat="1" ht="15.2" customHeight="1">
      <c r="B92" s="27"/>
      <c r="C92" s="24" t="s">
        <v>25</v>
      </c>
      <c r="F92" s="22" t="str">
        <f>IF(E18="","",E18)</f>
        <v xml:space="preserve"> </v>
      </c>
      <c r="I92" s="24" t="s">
        <v>30</v>
      </c>
      <c r="J92" s="25" t="str">
        <f>E24</f>
        <v xml:space="preserve"> </v>
      </c>
      <c r="L92" s="27"/>
    </row>
    <row r="93" spans="2:47" s="1" customFormat="1" ht="10.35" customHeight="1">
      <c r="B93" s="27"/>
      <c r="L93" s="27"/>
    </row>
    <row r="94" spans="2:47" s="1" customFormat="1" ht="29.25" customHeight="1">
      <c r="B94" s="27"/>
      <c r="C94" s="96" t="s">
        <v>93</v>
      </c>
      <c r="D94" s="88"/>
      <c r="E94" s="88"/>
      <c r="F94" s="88"/>
      <c r="G94" s="88"/>
      <c r="H94" s="88"/>
      <c r="I94" s="88"/>
      <c r="J94" s="97" t="s">
        <v>94</v>
      </c>
      <c r="K94" s="88"/>
      <c r="L94" s="27"/>
    </row>
    <row r="95" spans="2:47" s="1" customFormat="1" ht="10.35" customHeight="1">
      <c r="B95" s="27"/>
      <c r="L95" s="27"/>
    </row>
    <row r="96" spans="2:47" s="1" customFormat="1" ht="22.9" customHeight="1">
      <c r="B96" s="27"/>
      <c r="C96" s="98" t="s">
        <v>95</v>
      </c>
      <c r="J96" s="61">
        <f>J119</f>
        <v>301561.90000000002</v>
      </c>
      <c r="L96" s="27"/>
      <c r="AU96" s="15" t="s">
        <v>96</v>
      </c>
    </row>
    <row r="97" spans="2:12" s="8" customFormat="1" ht="24.95" customHeight="1">
      <c r="B97" s="99"/>
      <c r="D97" s="100" t="s">
        <v>2094</v>
      </c>
      <c r="E97" s="101"/>
      <c r="F97" s="101"/>
      <c r="G97" s="101"/>
      <c r="H97" s="101"/>
      <c r="I97" s="101"/>
      <c r="J97" s="102">
        <f>J120</f>
        <v>301561.90000000002</v>
      </c>
      <c r="L97" s="99"/>
    </row>
    <row r="98" spans="2:12" s="9" customFormat="1" ht="19.899999999999999" customHeight="1">
      <c r="B98" s="103"/>
      <c r="D98" s="104" t="s">
        <v>101</v>
      </c>
      <c r="E98" s="105"/>
      <c r="F98" s="105"/>
      <c r="G98" s="105"/>
      <c r="H98" s="105"/>
      <c r="I98" s="105"/>
      <c r="J98" s="106">
        <f>J143</f>
        <v>26512</v>
      </c>
      <c r="L98" s="103"/>
    </row>
    <row r="99" spans="2:12" s="9" customFormat="1" ht="19.899999999999999" customHeight="1">
      <c r="B99" s="103"/>
      <c r="D99" s="104" t="s">
        <v>2093</v>
      </c>
      <c r="E99" s="105"/>
      <c r="F99" s="105"/>
      <c r="G99" s="105"/>
      <c r="H99" s="105"/>
      <c r="I99" s="105"/>
      <c r="J99" s="106">
        <f>J148</f>
        <v>190367</v>
      </c>
      <c r="L99" s="103"/>
    </row>
    <row r="100" spans="2:12" s="1" customFormat="1" ht="21.75" customHeight="1">
      <c r="B100" s="27"/>
      <c r="L100" s="27"/>
    </row>
    <row r="101" spans="2:12" s="1" customFormat="1" ht="6.95" customHeight="1">
      <c r="B101" s="39"/>
      <c r="C101" s="40"/>
      <c r="D101" s="40"/>
      <c r="E101" s="40"/>
      <c r="F101" s="40"/>
      <c r="G101" s="40"/>
      <c r="H101" s="40"/>
      <c r="I101" s="40"/>
      <c r="J101" s="40"/>
      <c r="K101" s="40"/>
      <c r="L101" s="27"/>
    </row>
    <row r="105" spans="2:12" s="1" customFormat="1" ht="6.95" customHeight="1">
      <c r="B105" s="41"/>
      <c r="C105" s="42"/>
      <c r="D105" s="42"/>
      <c r="E105" s="42"/>
      <c r="F105" s="42"/>
      <c r="G105" s="42"/>
      <c r="H105" s="42"/>
      <c r="I105" s="42"/>
      <c r="J105" s="42"/>
      <c r="K105" s="42"/>
      <c r="L105" s="27"/>
    </row>
    <row r="106" spans="2:12" s="1" customFormat="1" ht="24.95" customHeight="1">
      <c r="B106" s="27"/>
      <c r="C106" s="19" t="s">
        <v>126</v>
      </c>
      <c r="L106" s="27"/>
    </row>
    <row r="107" spans="2:12" s="1" customFormat="1" ht="6.95" customHeight="1">
      <c r="B107" s="27"/>
      <c r="L107" s="27"/>
    </row>
    <row r="108" spans="2:12" s="1" customFormat="1" ht="12" customHeight="1">
      <c r="B108" s="27"/>
      <c r="C108" s="24" t="s">
        <v>14</v>
      </c>
      <c r="L108" s="27"/>
    </row>
    <row r="109" spans="2:12" s="1" customFormat="1" ht="26.25" customHeight="1">
      <c r="B109" s="27"/>
      <c r="E109" s="283" t="str">
        <f>E7</f>
        <v>Rozvoj komunitních sociálních služeb DOZP v lokalitě Jičín - aktualizace PD - změna PD 11/2022</v>
      </c>
      <c r="F109" s="284"/>
      <c r="G109" s="284"/>
      <c r="H109" s="284"/>
      <c r="L109" s="27"/>
    </row>
    <row r="110" spans="2:12" s="1" customFormat="1" ht="12" customHeight="1">
      <c r="B110" s="27"/>
      <c r="C110" s="24" t="s">
        <v>90</v>
      </c>
      <c r="L110" s="27"/>
    </row>
    <row r="111" spans="2:12" s="1" customFormat="1" ht="16.5" customHeight="1">
      <c r="B111" s="27"/>
      <c r="E111" s="270" t="str">
        <f>E9</f>
        <v>Objekt A,B - Vodovodní přípojka</v>
      </c>
      <c r="F111" s="285"/>
      <c r="G111" s="285"/>
      <c r="H111" s="285"/>
      <c r="L111" s="27"/>
    </row>
    <row r="112" spans="2:12" s="1" customFormat="1" ht="6.95" customHeight="1">
      <c r="B112" s="27"/>
      <c r="L112" s="27"/>
    </row>
    <row r="113" spans="2:65" s="1" customFormat="1" ht="12" customHeight="1">
      <c r="B113" s="27"/>
      <c r="C113" s="24" t="s">
        <v>18</v>
      </c>
      <c r="F113" s="22" t="str">
        <f>F12</f>
        <v>Jičín</v>
      </c>
      <c r="I113" s="24" t="s">
        <v>20</v>
      </c>
      <c r="J113" s="47" t="str">
        <f>IF(J12="","",J12)</f>
        <v>15. 3. 2022</v>
      </c>
      <c r="L113" s="27"/>
    </row>
    <row r="114" spans="2:65" s="1" customFormat="1" ht="6.95" customHeight="1">
      <c r="B114" s="27"/>
      <c r="L114" s="27"/>
    </row>
    <row r="115" spans="2:65" s="1" customFormat="1" ht="15.2" customHeight="1">
      <c r="B115" s="27"/>
      <c r="C115" s="24" t="s">
        <v>21</v>
      </c>
      <c r="F115" s="22" t="str">
        <f>E15</f>
        <v xml:space="preserve"> </v>
      </c>
      <c r="I115" s="24" t="s">
        <v>27</v>
      </c>
      <c r="J115" s="25" t="str">
        <f>E21</f>
        <v xml:space="preserve"> </v>
      </c>
      <c r="L115" s="27"/>
    </row>
    <row r="116" spans="2:65" s="1" customFormat="1" ht="15.2" customHeight="1">
      <c r="B116" s="27"/>
      <c r="C116" s="24" t="s">
        <v>25</v>
      </c>
      <c r="F116" s="22" t="str">
        <f>IF(E18="","",E18)</f>
        <v xml:space="preserve"> </v>
      </c>
      <c r="I116" s="24" t="s">
        <v>30</v>
      </c>
      <c r="J116" s="25" t="str">
        <f>E24</f>
        <v xml:space="preserve"> </v>
      </c>
      <c r="L116" s="27"/>
    </row>
    <row r="117" spans="2:65" s="1" customFormat="1" ht="10.35" customHeight="1">
      <c r="B117" s="27"/>
      <c r="L117" s="27"/>
    </row>
    <row r="118" spans="2:65" s="10" customFormat="1" ht="29.25" customHeight="1">
      <c r="B118" s="107"/>
      <c r="C118" s="108" t="s">
        <v>127</v>
      </c>
      <c r="D118" s="109" t="s">
        <v>58</v>
      </c>
      <c r="E118" s="109" t="s">
        <v>54</v>
      </c>
      <c r="F118" s="109" t="s">
        <v>55</v>
      </c>
      <c r="G118" s="109" t="s">
        <v>128</v>
      </c>
      <c r="H118" s="109" t="s">
        <v>129</v>
      </c>
      <c r="I118" s="109" t="s">
        <v>130</v>
      </c>
      <c r="J118" s="109" t="s">
        <v>94</v>
      </c>
      <c r="K118" s="110" t="s">
        <v>131</v>
      </c>
      <c r="L118" s="107"/>
      <c r="M118" s="54" t="s">
        <v>1</v>
      </c>
      <c r="N118" s="55" t="s">
        <v>37</v>
      </c>
      <c r="O118" s="55" t="s">
        <v>132</v>
      </c>
      <c r="P118" s="55" t="s">
        <v>133</v>
      </c>
      <c r="Q118" s="55" t="s">
        <v>134</v>
      </c>
      <c r="R118" s="55" t="s">
        <v>135</v>
      </c>
      <c r="S118" s="55" t="s">
        <v>136</v>
      </c>
      <c r="T118" s="56" t="s">
        <v>137</v>
      </c>
    </row>
    <row r="119" spans="2:65" s="1" customFormat="1" ht="22.9" customHeight="1">
      <c r="B119" s="27"/>
      <c r="C119" s="59" t="s">
        <v>138</v>
      </c>
      <c r="J119" s="111">
        <f>BK119</f>
        <v>301561.90000000002</v>
      </c>
      <c r="L119" s="27"/>
      <c r="M119" s="57"/>
      <c r="N119" s="48"/>
      <c r="O119" s="48"/>
      <c r="P119" s="112">
        <f>P120</f>
        <v>78.921999999999997</v>
      </c>
      <c r="Q119" s="48"/>
      <c r="R119" s="112">
        <f>R120</f>
        <v>24.142749999999999</v>
      </c>
      <c r="S119" s="48"/>
      <c r="T119" s="113">
        <f>T120</f>
        <v>0</v>
      </c>
      <c r="AT119" s="15" t="s">
        <v>72</v>
      </c>
      <c r="AU119" s="15" t="s">
        <v>96</v>
      </c>
      <c r="BK119" s="114">
        <f>BK120</f>
        <v>301561.90000000002</v>
      </c>
    </row>
    <row r="120" spans="2:65" s="11" customFormat="1" ht="25.9" customHeight="1">
      <c r="B120" s="115"/>
      <c r="D120" s="116" t="s">
        <v>72</v>
      </c>
      <c r="E120" s="117" t="s">
        <v>139</v>
      </c>
      <c r="F120" s="117" t="s">
        <v>139</v>
      </c>
      <c r="J120" s="118">
        <f>BK120</f>
        <v>301561.90000000002</v>
      </c>
      <c r="L120" s="115"/>
      <c r="M120" s="119"/>
      <c r="P120" s="120">
        <f>P121+SUM(P122:P143)+P148</f>
        <v>78.921999999999997</v>
      </c>
      <c r="R120" s="120">
        <f>R121+SUM(R122:R143)+R148</f>
        <v>24.142749999999999</v>
      </c>
      <c r="T120" s="121">
        <f>T121+SUM(T122:T143)+T148</f>
        <v>0</v>
      </c>
      <c r="AR120" s="116" t="s">
        <v>81</v>
      </c>
      <c r="AT120" s="122" t="s">
        <v>72</v>
      </c>
      <c r="AU120" s="122" t="s">
        <v>73</v>
      </c>
      <c r="AY120" s="116" t="s">
        <v>141</v>
      </c>
      <c r="BK120" s="123">
        <f>BK121+SUM(BK122:BK143)+BK148</f>
        <v>301561.90000000002</v>
      </c>
    </row>
    <row r="121" spans="2:65" s="1" customFormat="1" ht="44.25" customHeight="1">
      <c r="B121" s="126"/>
      <c r="C121" s="127" t="s">
        <v>81</v>
      </c>
      <c r="D121" s="127" t="s">
        <v>144</v>
      </c>
      <c r="E121" s="128" t="s">
        <v>2088</v>
      </c>
      <c r="F121" s="129" t="s">
        <v>2087</v>
      </c>
      <c r="G121" s="130" t="s">
        <v>162</v>
      </c>
      <c r="H121" s="131">
        <v>67.5</v>
      </c>
      <c r="I121" s="132">
        <v>768</v>
      </c>
      <c r="J121" s="132">
        <f>ROUND(I121*H121,2)</f>
        <v>51840</v>
      </c>
      <c r="K121" s="129" t="s">
        <v>1</v>
      </c>
      <c r="L121" s="27"/>
      <c r="M121" s="133" t="s">
        <v>1</v>
      </c>
      <c r="N121" s="134" t="s">
        <v>38</v>
      </c>
      <c r="O121" s="135">
        <v>0</v>
      </c>
      <c r="P121" s="135">
        <f>O121*H121</f>
        <v>0</v>
      </c>
      <c r="Q121" s="135">
        <v>0</v>
      </c>
      <c r="R121" s="135">
        <f>Q121*H121</f>
        <v>0</v>
      </c>
      <c r="S121" s="135">
        <v>0</v>
      </c>
      <c r="T121" s="136">
        <f>S121*H121</f>
        <v>0</v>
      </c>
      <c r="AR121" s="137" t="s">
        <v>149</v>
      </c>
      <c r="AT121" s="137" t="s">
        <v>144</v>
      </c>
      <c r="AU121" s="137" t="s">
        <v>81</v>
      </c>
      <c r="AY121" s="15" t="s">
        <v>141</v>
      </c>
      <c r="BE121" s="138">
        <f>IF(N121="základní",J121,0)</f>
        <v>51840</v>
      </c>
      <c r="BF121" s="138">
        <f>IF(N121="snížená",J121,0)</f>
        <v>0</v>
      </c>
      <c r="BG121" s="138">
        <f>IF(N121="zákl. přenesená",J121,0)</f>
        <v>0</v>
      </c>
      <c r="BH121" s="138">
        <f>IF(N121="sníž. přenesená",J121,0)</f>
        <v>0</v>
      </c>
      <c r="BI121" s="138">
        <f>IF(N121="nulová",J121,0)</f>
        <v>0</v>
      </c>
      <c r="BJ121" s="15" t="s">
        <v>81</v>
      </c>
      <c r="BK121" s="138">
        <f>ROUND(I121*H121,2)</f>
        <v>51840</v>
      </c>
      <c r="BL121" s="15" t="s">
        <v>149</v>
      </c>
      <c r="BM121" s="137" t="s">
        <v>2161</v>
      </c>
    </row>
    <row r="122" spans="2:65" s="12" customFormat="1">
      <c r="B122" s="148"/>
      <c r="D122" s="149" t="s">
        <v>363</v>
      </c>
      <c r="E122" s="154" t="s">
        <v>1</v>
      </c>
      <c r="F122" s="150" t="s">
        <v>2160</v>
      </c>
      <c r="H122" s="151">
        <v>67.5</v>
      </c>
      <c r="L122" s="148"/>
      <c r="M122" s="152"/>
      <c r="T122" s="153"/>
      <c r="AT122" s="154" t="s">
        <v>363</v>
      </c>
      <c r="AU122" s="154" t="s">
        <v>81</v>
      </c>
      <c r="AV122" s="12" t="s">
        <v>143</v>
      </c>
      <c r="AW122" s="12" t="s">
        <v>29</v>
      </c>
      <c r="AX122" s="12" t="s">
        <v>81</v>
      </c>
      <c r="AY122" s="154" t="s">
        <v>141</v>
      </c>
    </row>
    <row r="123" spans="2:65" s="1" customFormat="1" ht="37.9" customHeight="1">
      <c r="B123" s="126"/>
      <c r="C123" s="127" t="s">
        <v>143</v>
      </c>
      <c r="D123" s="127" t="s">
        <v>144</v>
      </c>
      <c r="E123" s="128" t="s">
        <v>2083</v>
      </c>
      <c r="F123" s="129" t="s">
        <v>2082</v>
      </c>
      <c r="G123" s="130" t="s">
        <v>162</v>
      </c>
      <c r="H123" s="131">
        <v>0.75</v>
      </c>
      <c r="I123" s="132">
        <v>546</v>
      </c>
      <c r="J123" s="132">
        <f>ROUND(I123*H123,2)</f>
        <v>409.5</v>
      </c>
      <c r="K123" s="129" t="s">
        <v>1</v>
      </c>
      <c r="L123" s="27"/>
      <c r="M123" s="133" t="s">
        <v>1</v>
      </c>
      <c r="N123" s="134" t="s">
        <v>38</v>
      </c>
      <c r="O123" s="135">
        <v>0</v>
      </c>
      <c r="P123" s="135">
        <f>O123*H123</f>
        <v>0</v>
      </c>
      <c r="Q123" s="135">
        <v>0</v>
      </c>
      <c r="R123" s="135">
        <f>Q123*H123</f>
        <v>0</v>
      </c>
      <c r="S123" s="135">
        <v>0</v>
      </c>
      <c r="T123" s="136">
        <f>S123*H123</f>
        <v>0</v>
      </c>
      <c r="AR123" s="137" t="s">
        <v>149</v>
      </c>
      <c r="AT123" s="137" t="s">
        <v>144</v>
      </c>
      <c r="AU123" s="137" t="s">
        <v>81</v>
      </c>
      <c r="AY123" s="15" t="s">
        <v>141</v>
      </c>
      <c r="BE123" s="138">
        <f>IF(N123="základní",J123,0)</f>
        <v>409.5</v>
      </c>
      <c r="BF123" s="138">
        <f>IF(N123="snížená",J123,0)</f>
        <v>0</v>
      </c>
      <c r="BG123" s="138">
        <f>IF(N123="zákl. přenesená",J123,0)</f>
        <v>0</v>
      </c>
      <c r="BH123" s="138">
        <f>IF(N123="sníž. přenesená",J123,0)</f>
        <v>0</v>
      </c>
      <c r="BI123" s="138">
        <f>IF(N123="nulová",J123,0)</f>
        <v>0</v>
      </c>
      <c r="BJ123" s="15" t="s">
        <v>81</v>
      </c>
      <c r="BK123" s="138">
        <f>ROUND(I123*H123,2)</f>
        <v>409.5</v>
      </c>
      <c r="BL123" s="15" t="s">
        <v>149</v>
      </c>
      <c r="BM123" s="137" t="s">
        <v>2159</v>
      </c>
    </row>
    <row r="124" spans="2:65" s="167" customFormat="1" ht="22.5">
      <c r="B124" s="171"/>
      <c r="D124" s="149" t="s">
        <v>363</v>
      </c>
      <c r="E124" s="168" t="s">
        <v>1</v>
      </c>
      <c r="F124" s="172" t="s">
        <v>2080</v>
      </c>
      <c r="H124" s="168" t="s">
        <v>1</v>
      </c>
      <c r="L124" s="171"/>
      <c r="M124" s="170"/>
      <c r="T124" s="169"/>
      <c r="AT124" s="168" t="s">
        <v>363</v>
      </c>
      <c r="AU124" s="168" t="s">
        <v>81</v>
      </c>
      <c r="AV124" s="167" t="s">
        <v>81</v>
      </c>
      <c r="AW124" s="167" t="s">
        <v>29</v>
      </c>
      <c r="AX124" s="167" t="s">
        <v>73</v>
      </c>
      <c r="AY124" s="168" t="s">
        <v>141</v>
      </c>
    </row>
    <row r="125" spans="2:65" s="12" customFormat="1">
      <c r="B125" s="148"/>
      <c r="D125" s="149" t="s">
        <v>363</v>
      </c>
      <c r="E125" s="154" t="s">
        <v>1</v>
      </c>
      <c r="F125" s="150" t="s">
        <v>2158</v>
      </c>
      <c r="H125" s="151">
        <v>0.75</v>
      </c>
      <c r="L125" s="148"/>
      <c r="M125" s="152"/>
      <c r="T125" s="153"/>
      <c r="AT125" s="154" t="s">
        <v>363</v>
      </c>
      <c r="AU125" s="154" t="s">
        <v>81</v>
      </c>
      <c r="AV125" s="12" t="s">
        <v>143</v>
      </c>
      <c r="AW125" s="12" t="s">
        <v>29</v>
      </c>
      <c r="AX125" s="12" t="s">
        <v>81</v>
      </c>
      <c r="AY125" s="154" t="s">
        <v>141</v>
      </c>
    </row>
    <row r="126" spans="2:65" s="1" customFormat="1" ht="62.65" customHeight="1">
      <c r="B126" s="126"/>
      <c r="C126" s="127" t="s">
        <v>151</v>
      </c>
      <c r="D126" s="127" t="s">
        <v>144</v>
      </c>
      <c r="E126" s="128" t="s">
        <v>2078</v>
      </c>
      <c r="F126" s="129" t="s">
        <v>2077</v>
      </c>
      <c r="G126" s="130" t="s">
        <v>162</v>
      </c>
      <c r="H126" s="131">
        <v>13</v>
      </c>
      <c r="I126" s="132">
        <v>44.6</v>
      </c>
      <c r="J126" s="132">
        <f>ROUND(I126*H126,2)</f>
        <v>579.79999999999995</v>
      </c>
      <c r="K126" s="129" t="s">
        <v>1</v>
      </c>
      <c r="L126" s="27"/>
      <c r="M126" s="133" t="s">
        <v>1</v>
      </c>
      <c r="N126" s="134" t="s">
        <v>38</v>
      </c>
      <c r="O126" s="135">
        <v>0</v>
      </c>
      <c r="P126" s="135">
        <f>O126*H126</f>
        <v>0</v>
      </c>
      <c r="Q126" s="135">
        <v>0</v>
      </c>
      <c r="R126" s="135">
        <f>Q126*H126</f>
        <v>0</v>
      </c>
      <c r="S126" s="135">
        <v>0</v>
      </c>
      <c r="T126" s="136">
        <f>S126*H126</f>
        <v>0</v>
      </c>
      <c r="AR126" s="137" t="s">
        <v>149</v>
      </c>
      <c r="AT126" s="137" t="s">
        <v>144</v>
      </c>
      <c r="AU126" s="137" t="s">
        <v>81</v>
      </c>
      <c r="AY126" s="15" t="s">
        <v>141</v>
      </c>
      <c r="BE126" s="138">
        <f>IF(N126="základní",J126,0)</f>
        <v>579.79999999999995</v>
      </c>
      <c r="BF126" s="138">
        <f>IF(N126="snížená",J126,0)</f>
        <v>0</v>
      </c>
      <c r="BG126" s="138">
        <f>IF(N126="zákl. přenesená",J126,0)</f>
        <v>0</v>
      </c>
      <c r="BH126" s="138">
        <f>IF(N126="sníž. přenesená",J126,0)</f>
        <v>0</v>
      </c>
      <c r="BI126" s="138">
        <f>IF(N126="nulová",J126,0)</f>
        <v>0</v>
      </c>
      <c r="BJ126" s="15" t="s">
        <v>81</v>
      </c>
      <c r="BK126" s="138">
        <f>ROUND(I126*H126,2)</f>
        <v>579.79999999999995</v>
      </c>
      <c r="BL126" s="15" t="s">
        <v>149</v>
      </c>
      <c r="BM126" s="137" t="s">
        <v>2157</v>
      </c>
    </row>
    <row r="127" spans="2:65" s="12" customFormat="1" ht="22.5">
      <c r="B127" s="148"/>
      <c r="D127" s="149" t="s">
        <v>363</v>
      </c>
      <c r="E127" s="154" t="s">
        <v>1</v>
      </c>
      <c r="F127" s="150" t="s">
        <v>2156</v>
      </c>
      <c r="H127" s="151">
        <v>13</v>
      </c>
      <c r="L127" s="148"/>
      <c r="M127" s="152"/>
      <c r="T127" s="153"/>
      <c r="AT127" s="154" t="s">
        <v>363</v>
      </c>
      <c r="AU127" s="154" t="s">
        <v>81</v>
      </c>
      <c r="AV127" s="12" t="s">
        <v>143</v>
      </c>
      <c r="AW127" s="12" t="s">
        <v>29</v>
      </c>
      <c r="AX127" s="12" t="s">
        <v>81</v>
      </c>
      <c r="AY127" s="154" t="s">
        <v>141</v>
      </c>
    </row>
    <row r="128" spans="2:65" s="1" customFormat="1" ht="62.65" customHeight="1">
      <c r="B128" s="126"/>
      <c r="C128" s="127" t="s">
        <v>149</v>
      </c>
      <c r="D128" s="127" t="s">
        <v>144</v>
      </c>
      <c r="E128" s="128" t="s">
        <v>169</v>
      </c>
      <c r="F128" s="129" t="s">
        <v>2074</v>
      </c>
      <c r="G128" s="130" t="s">
        <v>162</v>
      </c>
      <c r="H128" s="131">
        <v>54</v>
      </c>
      <c r="I128" s="132">
        <v>44.6</v>
      </c>
      <c r="J128" s="132">
        <f>ROUND(I128*H128,2)</f>
        <v>2408.4</v>
      </c>
      <c r="K128" s="129" t="s">
        <v>1</v>
      </c>
      <c r="L128" s="27"/>
      <c r="M128" s="133" t="s">
        <v>1</v>
      </c>
      <c r="N128" s="134" t="s">
        <v>38</v>
      </c>
      <c r="O128" s="135">
        <v>0</v>
      </c>
      <c r="P128" s="135">
        <f>O128*H128</f>
        <v>0</v>
      </c>
      <c r="Q128" s="135">
        <v>0</v>
      </c>
      <c r="R128" s="135">
        <f>Q128*H128</f>
        <v>0</v>
      </c>
      <c r="S128" s="135">
        <v>0</v>
      </c>
      <c r="T128" s="136">
        <f>S128*H128</f>
        <v>0</v>
      </c>
      <c r="AR128" s="137" t="s">
        <v>149</v>
      </c>
      <c r="AT128" s="137" t="s">
        <v>144</v>
      </c>
      <c r="AU128" s="137" t="s">
        <v>81</v>
      </c>
      <c r="AY128" s="15" t="s">
        <v>141</v>
      </c>
      <c r="BE128" s="138">
        <f>IF(N128="základní",J128,0)</f>
        <v>2408.4</v>
      </c>
      <c r="BF128" s="138">
        <f>IF(N128="snížená",J128,0)</f>
        <v>0</v>
      </c>
      <c r="BG128" s="138">
        <f>IF(N128="zákl. přenesená",J128,0)</f>
        <v>0</v>
      </c>
      <c r="BH128" s="138">
        <f>IF(N128="sníž. přenesená",J128,0)</f>
        <v>0</v>
      </c>
      <c r="BI128" s="138">
        <f>IF(N128="nulová",J128,0)</f>
        <v>0</v>
      </c>
      <c r="BJ128" s="15" t="s">
        <v>81</v>
      </c>
      <c r="BK128" s="138">
        <f>ROUND(I128*H128,2)</f>
        <v>2408.4</v>
      </c>
      <c r="BL128" s="15" t="s">
        <v>149</v>
      </c>
      <c r="BM128" s="137" t="s">
        <v>2155</v>
      </c>
    </row>
    <row r="129" spans="2:65" s="167" customFormat="1" ht="22.5">
      <c r="B129" s="171"/>
      <c r="D129" s="149" t="s">
        <v>363</v>
      </c>
      <c r="E129" s="168" t="s">
        <v>1</v>
      </c>
      <c r="F129" s="172" t="s">
        <v>2072</v>
      </c>
      <c r="H129" s="168" t="s">
        <v>1</v>
      </c>
      <c r="L129" s="171"/>
      <c r="M129" s="170"/>
      <c r="T129" s="169"/>
      <c r="AT129" s="168" t="s">
        <v>363</v>
      </c>
      <c r="AU129" s="168" t="s">
        <v>81</v>
      </c>
      <c r="AV129" s="167" t="s">
        <v>81</v>
      </c>
      <c r="AW129" s="167" t="s">
        <v>29</v>
      </c>
      <c r="AX129" s="167" t="s">
        <v>73</v>
      </c>
      <c r="AY129" s="168" t="s">
        <v>141</v>
      </c>
    </row>
    <row r="130" spans="2:65" s="12" customFormat="1">
      <c r="B130" s="148"/>
      <c r="D130" s="149" t="s">
        <v>363</v>
      </c>
      <c r="E130" s="154" t="s">
        <v>1</v>
      </c>
      <c r="F130" s="150" t="s">
        <v>2154</v>
      </c>
      <c r="H130" s="151">
        <v>67.5</v>
      </c>
      <c r="L130" s="148"/>
      <c r="M130" s="152"/>
      <c r="T130" s="153"/>
      <c r="AT130" s="154" t="s">
        <v>363</v>
      </c>
      <c r="AU130" s="154" t="s">
        <v>81</v>
      </c>
      <c r="AV130" s="12" t="s">
        <v>143</v>
      </c>
      <c r="AW130" s="12" t="s">
        <v>29</v>
      </c>
      <c r="AX130" s="12" t="s">
        <v>73</v>
      </c>
      <c r="AY130" s="154" t="s">
        <v>141</v>
      </c>
    </row>
    <row r="131" spans="2:65" s="12" customFormat="1">
      <c r="B131" s="148"/>
      <c r="D131" s="149" t="s">
        <v>363</v>
      </c>
      <c r="E131" s="154" t="s">
        <v>1</v>
      </c>
      <c r="F131" s="150" t="s">
        <v>2153</v>
      </c>
      <c r="H131" s="151">
        <v>-13.5</v>
      </c>
      <c r="L131" s="148"/>
      <c r="M131" s="152"/>
      <c r="T131" s="153"/>
      <c r="AT131" s="154" t="s">
        <v>363</v>
      </c>
      <c r="AU131" s="154" t="s">
        <v>81</v>
      </c>
      <c r="AV131" s="12" t="s">
        <v>143</v>
      </c>
      <c r="AW131" s="12" t="s">
        <v>29</v>
      </c>
      <c r="AX131" s="12" t="s">
        <v>73</v>
      </c>
      <c r="AY131" s="154" t="s">
        <v>141</v>
      </c>
    </row>
    <row r="132" spans="2:65" s="13" customFormat="1">
      <c r="B132" s="159"/>
      <c r="D132" s="149" t="s">
        <v>363</v>
      </c>
      <c r="E132" s="160" t="s">
        <v>1</v>
      </c>
      <c r="F132" s="161" t="s">
        <v>1223</v>
      </c>
      <c r="H132" s="162">
        <v>54</v>
      </c>
      <c r="L132" s="159"/>
      <c r="M132" s="163"/>
      <c r="T132" s="164"/>
      <c r="AT132" s="160" t="s">
        <v>363</v>
      </c>
      <c r="AU132" s="160" t="s">
        <v>81</v>
      </c>
      <c r="AV132" s="13" t="s">
        <v>149</v>
      </c>
      <c r="AW132" s="13" t="s">
        <v>29</v>
      </c>
      <c r="AX132" s="13" t="s">
        <v>81</v>
      </c>
      <c r="AY132" s="160" t="s">
        <v>141</v>
      </c>
    </row>
    <row r="133" spans="2:65" s="1" customFormat="1" ht="44.25" customHeight="1">
      <c r="B133" s="126"/>
      <c r="C133" s="127" t="s">
        <v>159</v>
      </c>
      <c r="D133" s="127" t="s">
        <v>144</v>
      </c>
      <c r="E133" s="128" t="s">
        <v>2069</v>
      </c>
      <c r="F133" s="129" t="s">
        <v>2068</v>
      </c>
      <c r="G133" s="130" t="s">
        <v>162</v>
      </c>
      <c r="H133" s="131">
        <v>13.5</v>
      </c>
      <c r="I133" s="132">
        <v>154</v>
      </c>
      <c r="J133" s="132">
        <f>ROUND(I133*H133,2)</f>
        <v>2079</v>
      </c>
      <c r="K133" s="129" t="s">
        <v>1</v>
      </c>
      <c r="L133" s="27"/>
      <c r="M133" s="133" t="s">
        <v>1</v>
      </c>
      <c r="N133" s="134" t="s">
        <v>38</v>
      </c>
      <c r="O133" s="135">
        <v>0</v>
      </c>
      <c r="P133" s="135">
        <f>O133*H133</f>
        <v>0</v>
      </c>
      <c r="Q133" s="135">
        <v>0</v>
      </c>
      <c r="R133" s="135">
        <f>Q133*H133</f>
        <v>0</v>
      </c>
      <c r="S133" s="135">
        <v>0</v>
      </c>
      <c r="T133" s="136">
        <f>S133*H133</f>
        <v>0</v>
      </c>
      <c r="AR133" s="137" t="s">
        <v>149</v>
      </c>
      <c r="AT133" s="137" t="s">
        <v>144</v>
      </c>
      <c r="AU133" s="137" t="s">
        <v>81</v>
      </c>
      <c r="AY133" s="15" t="s">
        <v>141</v>
      </c>
      <c r="BE133" s="138">
        <f>IF(N133="základní",J133,0)</f>
        <v>2079</v>
      </c>
      <c r="BF133" s="138">
        <f>IF(N133="snížená",J133,0)</f>
        <v>0</v>
      </c>
      <c r="BG133" s="138">
        <f>IF(N133="zákl. přenesená",J133,0)</f>
        <v>0</v>
      </c>
      <c r="BH133" s="138">
        <f>IF(N133="sníž. přenesená",J133,0)</f>
        <v>0</v>
      </c>
      <c r="BI133" s="138">
        <f>IF(N133="nulová",J133,0)</f>
        <v>0</v>
      </c>
      <c r="BJ133" s="15" t="s">
        <v>81</v>
      </c>
      <c r="BK133" s="138">
        <f>ROUND(I133*H133,2)</f>
        <v>2079</v>
      </c>
      <c r="BL133" s="15" t="s">
        <v>149</v>
      </c>
      <c r="BM133" s="137" t="s">
        <v>2152</v>
      </c>
    </row>
    <row r="134" spans="2:65" s="12" customFormat="1" ht="22.5">
      <c r="B134" s="148"/>
      <c r="D134" s="149" t="s">
        <v>363</v>
      </c>
      <c r="E134" s="154" t="s">
        <v>1</v>
      </c>
      <c r="F134" s="150" t="s">
        <v>2151</v>
      </c>
      <c r="H134" s="151">
        <v>13.5</v>
      </c>
      <c r="L134" s="148"/>
      <c r="M134" s="152"/>
      <c r="T134" s="153"/>
      <c r="AT134" s="154" t="s">
        <v>363</v>
      </c>
      <c r="AU134" s="154" t="s">
        <v>81</v>
      </c>
      <c r="AV134" s="12" t="s">
        <v>143</v>
      </c>
      <c r="AW134" s="12" t="s">
        <v>29</v>
      </c>
      <c r="AX134" s="12" t="s">
        <v>81</v>
      </c>
      <c r="AY134" s="154" t="s">
        <v>141</v>
      </c>
    </row>
    <row r="135" spans="2:65" s="1" customFormat="1" ht="44.25" customHeight="1">
      <c r="B135" s="126"/>
      <c r="C135" s="127" t="s">
        <v>164</v>
      </c>
      <c r="D135" s="127" t="s">
        <v>144</v>
      </c>
      <c r="E135" s="128" t="s">
        <v>2065</v>
      </c>
      <c r="F135" s="129" t="s">
        <v>2064</v>
      </c>
      <c r="G135" s="130" t="s">
        <v>179</v>
      </c>
      <c r="H135" s="131">
        <v>24.3</v>
      </c>
      <c r="I135" s="132">
        <v>294</v>
      </c>
      <c r="J135" s="132">
        <f>ROUND(I135*H135,2)</f>
        <v>7144.2</v>
      </c>
      <c r="K135" s="129" t="s">
        <v>1</v>
      </c>
      <c r="L135" s="27"/>
      <c r="M135" s="133" t="s">
        <v>1</v>
      </c>
      <c r="N135" s="134" t="s">
        <v>38</v>
      </c>
      <c r="O135" s="135">
        <v>0</v>
      </c>
      <c r="P135" s="135">
        <f>O135*H135</f>
        <v>0</v>
      </c>
      <c r="Q135" s="135">
        <v>0</v>
      </c>
      <c r="R135" s="135">
        <f>Q135*H135</f>
        <v>0</v>
      </c>
      <c r="S135" s="135">
        <v>0</v>
      </c>
      <c r="T135" s="136">
        <f>S135*H135</f>
        <v>0</v>
      </c>
      <c r="AR135" s="137" t="s">
        <v>149</v>
      </c>
      <c r="AT135" s="137" t="s">
        <v>144</v>
      </c>
      <c r="AU135" s="137" t="s">
        <v>81</v>
      </c>
      <c r="AY135" s="15" t="s">
        <v>141</v>
      </c>
      <c r="BE135" s="138">
        <f>IF(N135="základní",J135,0)</f>
        <v>7144.2</v>
      </c>
      <c r="BF135" s="138">
        <f>IF(N135="snížená",J135,0)</f>
        <v>0</v>
      </c>
      <c r="BG135" s="138">
        <f>IF(N135="zákl. přenesená",J135,0)</f>
        <v>0</v>
      </c>
      <c r="BH135" s="138">
        <f>IF(N135="sníž. přenesená",J135,0)</f>
        <v>0</v>
      </c>
      <c r="BI135" s="138">
        <f>IF(N135="nulová",J135,0)</f>
        <v>0</v>
      </c>
      <c r="BJ135" s="15" t="s">
        <v>81</v>
      </c>
      <c r="BK135" s="138">
        <f>ROUND(I135*H135,2)</f>
        <v>7144.2</v>
      </c>
      <c r="BL135" s="15" t="s">
        <v>149</v>
      </c>
      <c r="BM135" s="137" t="s">
        <v>2150</v>
      </c>
    </row>
    <row r="136" spans="2:65" s="12" customFormat="1" ht="22.5">
      <c r="B136" s="148"/>
      <c r="D136" s="149" t="s">
        <v>363</v>
      </c>
      <c r="E136" s="154" t="s">
        <v>1</v>
      </c>
      <c r="F136" s="150" t="s">
        <v>2149</v>
      </c>
      <c r="H136" s="151">
        <v>24.3</v>
      </c>
      <c r="L136" s="148"/>
      <c r="M136" s="152"/>
      <c r="T136" s="153"/>
      <c r="AT136" s="154" t="s">
        <v>363</v>
      </c>
      <c r="AU136" s="154" t="s">
        <v>81</v>
      </c>
      <c r="AV136" s="12" t="s">
        <v>143</v>
      </c>
      <c r="AW136" s="12" t="s">
        <v>29</v>
      </c>
      <c r="AX136" s="12" t="s">
        <v>81</v>
      </c>
      <c r="AY136" s="154" t="s">
        <v>141</v>
      </c>
    </row>
    <row r="137" spans="2:65" s="1" customFormat="1" ht="44.25" customHeight="1">
      <c r="B137" s="126"/>
      <c r="C137" s="127" t="s">
        <v>168</v>
      </c>
      <c r="D137" s="127" t="s">
        <v>144</v>
      </c>
      <c r="E137" s="128" t="s">
        <v>2061</v>
      </c>
      <c r="F137" s="129" t="s">
        <v>2060</v>
      </c>
      <c r="G137" s="130" t="s">
        <v>162</v>
      </c>
      <c r="H137" s="131">
        <v>54</v>
      </c>
      <c r="I137" s="132">
        <v>143</v>
      </c>
      <c r="J137" s="132">
        <f>ROUND(I137*H137,2)</f>
        <v>7722</v>
      </c>
      <c r="K137" s="129" t="s">
        <v>1</v>
      </c>
      <c r="L137" s="27"/>
      <c r="M137" s="133" t="s">
        <v>1</v>
      </c>
      <c r="N137" s="134" t="s">
        <v>38</v>
      </c>
      <c r="O137" s="135">
        <v>0</v>
      </c>
      <c r="P137" s="135">
        <f>O137*H137</f>
        <v>0</v>
      </c>
      <c r="Q137" s="135">
        <v>0</v>
      </c>
      <c r="R137" s="135">
        <f>Q137*H137</f>
        <v>0</v>
      </c>
      <c r="S137" s="135">
        <v>0</v>
      </c>
      <c r="T137" s="136">
        <f>S137*H137</f>
        <v>0</v>
      </c>
      <c r="AR137" s="137" t="s">
        <v>149</v>
      </c>
      <c r="AT137" s="137" t="s">
        <v>144</v>
      </c>
      <c r="AU137" s="137" t="s">
        <v>81</v>
      </c>
      <c r="AY137" s="15" t="s">
        <v>141</v>
      </c>
      <c r="BE137" s="138">
        <f>IF(N137="základní",J137,0)</f>
        <v>7722</v>
      </c>
      <c r="BF137" s="138">
        <f>IF(N137="snížená",J137,0)</f>
        <v>0</v>
      </c>
      <c r="BG137" s="138">
        <f>IF(N137="zákl. přenesená",J137,0)</f>
        <v>0</v>
      </c>
      <c r="BH137" s="138">
        <f>IF(N137="sníž. přenesená",J137,0)</f>
        <v>0</v>
      </c>
      <c r="BI137" s="138">
        <f>IF(N137="nulová",J137,0)</f>
        <v>0</v>
      </c>
      <c r="BJ137" s="15" t="s">
        <v>81</v>
      </c>
      <c r="BK137" s="138">
        <f>ROUND(I137*H137,2)</f>
        <v>7722</v>
      </c>
      <c r="BL137" s="15" t="s">
        <v>149</v>
      </c>
      <c r="BM137" s="137" t="s">
        <v>2148</v>
      </c>
    </row>
    <row r="138" spans="2:65" s="167" customFormat="1" ht="22.5">
      <c r="B138" s="171"/>
      <c r="D138" s="149" t="s">
        <v>363</v>
      </c>
      <c r="E138" s="168" t="s">
        <v>1</v>
      </c>
      <c r="F138" s="172" t="s">
        <v>2058</v>
      </c>
      <c r="H138" s="168" t="s">
        <v>1</v>
      </c>
      <c r="L138" s="171"/>
      <c r="M138" s="170"/>
      <c r="T138" s="169"/>
      <c r="AT138" s="168" t="s">
        <v>363</v>
      </c>
      <c r="AU138" s="168" t="s">
        <v>81</v>
      </c>
      <c r="AV138" s="167" t="s">
        <v>81</v>
      </c>
      <c r="AW138" s="167" t="s">
        <v>29</v>
      </c>
      <c r="AX138" s="167" t="s">
        <v>73</v>
      </c>
      <c r="AY138" s="168" t="s">
        <v>141</v>
      </c>
    </row>
    <row r="139" spans="2:65" s="12" customFormat="1">
      <c r="B139" s="148"/>
      <c r="D139" s="149" t="s">
        <v>363</v>
      </c>
      <c r="E139" s="154" t="s">
        <v>1</v>
      </c>
      <c r="F139" s="150" t="s">
        <v>2147</v>
      </c>
      <c r="H139" s="151">
        <v>67.5</v>
      </c>
      <c r="L139" s="148"/>
      <c r="M139" s="152"/>
      <c r="T139" s="153"/>
      <c r="AT139" s="154" t="s">
        <v>363</v>
      </c>
      <c r="AU139" s="154" t="s">
        <v>81</v>
      </c>
      <c r="AV139" s="12" t="s">
        <v>143</v>
      </c>
      <c r="AW139" s="12" t="s">
        <v>29</v>
      </c>
      <c r="AX139" s="12" t="s">
        <v>73</v>
      </c>
      <c r="AY139" s="154" t="s">
        <v>141</v>
      </c>
    </row>
    <row r="140" spans="2:65" s="12" customFormat="1" ht="22.5">
      <c r="B140" s="148"/>
      <c r="D140" s="149" t="s">
        <v>363</v>
      </c>
      <c r="E140" s="154" t="s">
        <v>1</v>
      </c>
      <c r="F140" s="150" t="s">
        <v>2146</v>
      </c>
      <c r="H140" s="151">
        <v>-13.5</v>
      </c>
      <c r="L140" s="148"/>
      <c r="M140" s="152"/>
      <c r="T140" s="153"/>
      <c r="AT140" s="154" t="s">
        <v>363</v>
      </c>
      <c r="AU140" s="154" t="s">
        <v>81</v>
      </c>
      <c r="AV140" s="12" t="s">
        <v>143</v>
      </c>
      <c r="AW140" s="12" t="s">
        <v>29</v>
      </c>
      <c r="AX140" s="12" t="s">
        <v>73</v>
      </c>
      <c r="AY140" s="154" t="s">
        <v>141</v>
      </c>
    </row>
    <row r="141" spans="2:65" s="13" customFormat="1">
      <c r="B141" s="159"/>
      <c r="D141" s="149" t="s">
        <v>363</v>
      </c>
      <c r="E141" s="160" t="s">
        <v>1</v>
      </c>
      <c r="F141" s="161" t="s">
        <v>1223</v>
      </c>
      <c r="H141" s="162">
        <v>54</v>
      </c>
      <c r="L141" s="159"/>
      <c r="M141" s="163"/>
      <c r="T141" s="164"/>
      <c r="AT141" s="160" t="s">
        <v>363</v>
      </c>
      <c r="AU141" s="160" t="s">
        <v>81</v>
      </c>
      <c r="AV141" s="13" t="s">
        <v>149</v>
      </c>
      <c r="AW141" s="13" t="s">
        <v>29</v>
      </c>
      <c r="AX141" s="13" t="s">
        <v>81</v>
      </c>
      <c r="AY141" s="160" t="s">
        <v>141</v>
      </c>
    </row>
    <row r="142" spans="2:65" s="1" customFormat="1" ht="16.5" customHeight="1">
      <c r="B142" s="126"/>
      <c r="C142" s="127" t="s">
        <v>172</v>
      </c>
      <c r="D142" s="127" t="s">
        <v>144</v>
      </c>
      <c r="E142" s="128" t="s">
        <v>2145</v>
      </c>
      <c r="F142" s="129" t="s">
        <v>2144</v>
      </c>
      <c r="G142" s="130" t="s">
        <v>193</v>
      </c>
      <c r="H142" s="131">
        <v>25</v>
      </c>
      <c r="I142" s="132">
        <v>500</v>
      </c>
      <c r="J142" s="132">
        <f>ROUND(I142*H142,2)</f>
        <v>12500</v>
      </c>
      <c r="K142" s="129" t="s">
        <v>1</v>
      </c>
      <c r="L142" s="27"/>
      <c r="M142" s="133" t="s">
        <v>1</v>
      </c>
      <c r="N142" s="134" t="s">
        <v>38</v>
      </c>
      <c r="O142" s="135">
        <v>0</v>
      </c>
      <c r="P142" s="135">
        <f>O142*H142</f>
        <v>0</v>
      </c>
      <c r="Q142" s="135">
        <v>0</v>
      </c>
      <c r="R142" s="135">
        <f>Q142*H142</f>
        <v>0</v>
      </c>
      <c r="S142" s="135">
        <v>0</v>
      </c>
      <c r="T142" s="136">
        <f>S142*H142</f>
        <v>0</v>
      </c>
      <c r="AR142" s="137" t="s">
        <v>149</v>
      </c>
      <c r="AT142" s="137" t="s">
        <v>144</v>
      </c>
      <c r="AU142" s="137" t="s">
        <v>81</v>
      </c>
      <c r="AY142" s="15" t="s">
        <v>141</v>
      </c>
      <c r="BE142" s="138">
        <f>IF(N142="základní",J142,0)</f>
        <v>12500</v>
      </c>
      <c r="BF142" s="138">
        <f>IF(N142="snížená",J142,0)</f>
        <v>0</v>
      </c>
      <c r="BG142" s="138">
        <f>IF(N142="zákl. přenesená",J142,0)</f>
        <v>0</v>
      </c>
      <c r="BH142" s="138">
        <f>IF(N142="sníž. přenesená",J142,0)</f>
        <v>0</v>
      </c>
      <c r="BI142" s="138">
        <f>IF(N142="nulová",J142,0)</f>
        <v>0</v>
      </c>
      <c r="BJ142" s="15" t="s">
        <v>81</v>
      </c>
      <c r="BK142" s="138">
        <f>ROUND(I142*H142,2)</f>
        <v>12500</v>
      </c>
      <c r="BL142" s="15" t="s">
        <v>149</v>
      </c>
      <c r="BM142" s="137" t="s">
        <v>2143</v>
      </c>
    </row>
    <row r="143" spans="2:65" s="11" customFormat="1" ht="22.9" customHeight="1">
      <c r="B143" s="115"/>
      <c r="D143" s="116" t="s">
        <v>72</v>
      </c>
      <c r="E143" s="124" t="s">
        <v>149</v>
      </c>
      <c r="F143" s="124" t="s">
        <v>269</v>
      </c>
      <c r="J143" s="125">
        <f>BK143</f>
        <v>26512</v>
      </c>
      <c r="L143" s="115"/>
      <c r="M143" s="119"/>
      <c r="P143" s="120">
        <f>SUM(P144:P147)</f>
        <v>5.78</v>
      </c>
      <c r="R143" s="120">
        <f>SUM(R144:R147)</f>
        <v>1.9900000000000001E-2</v>
      </c>
      <c r="T143" s="121">
        <f>SUM(T144:T147)</f>
        <v>0</v>
      </c>
      <c r="AR143" s="116" t="s">
        <v>81</v>
      </c>
      <c r="AT143" s="122" t="s">
        <v>72</v>
      </c>
      <c r="AU143" s="122" t="s">
        <v>81</v>
      </c>
      <c r="AY143" s="116" t="s">
        <v>141</v>
      </c>
      <c r="BK143" s="123">
        <f>SUM(BK144:BK147)</f>
        <v>26512</v>
      </c>
    </row>
    <row r="144" spans="2:65" s="1" customFormat="1" ht="24.2" customHeight="1">
      <c r="B144" s="126"/>
      <c r="C144" s="127" t="s">
        <v>176</v>
      </c>
      <c r="D144" s="127" t="s">
        <v>144</v>
      </c>
      <c r="E144" s="128" t="s">
        <v>2055</v>
      </c>
      <c r="F144" s="129" t="s">
        <v>2054</v>
      </c>
      <c r="G144" s="130" t="s">
        <v>162</v>
      </c>
      <c r="H144" s="131">
        <v>13.5</v>
      </c>
      <c r="I144" s="132">
        <v>1452</v>
      </c>
      <c r="J144" s="132">
        <f>ROUND(I144*H144,2)</f>
        <v>19602</v>
      </c>
      <c r="K144" s="129" t="s">
        <v>1</v>
      </c>
      <c r="L144" s="27"/>
      <c r="M144" s="133" t="s">
        <v>1</v>
      </c>
      <c r="N144" s="134" t="s">
        <v>38</v>
      </c>
      <c r="O144" s="135">
        <v>0</v>
      </c>
      <c r="P144" s="135">
        <f>O144*H144</f>
        <v>0</v>
      </c>
      <c r="Q144" s="135">
        <v>0</v>
      </c>
      <c r="R144" s="135">
        <f>Q144*H144</f>
        <v>0</v>
      </c>
      <c r="S144" s="135">
        <v>0</v>
      </c>
      <c r="T144" s="136">
        <f>S144*H144</f>
        <v>0</v>
      </c>
      <c r="AR144" s="137" t="s">
        <v>149</v>
      </c>
      <c r="AT144" s="137" t="s">
        <v>144</v>
      </c>
      <c r="AU144" s="137" t="s">
        <v>143</v>
      </c>
      <c r="AY144" s="15" t="s">
        <v>141</v>
      </c>
      <c r="BE144" s="138">
        <f>IF(N144="základní",J144,0)</f>
        <v>19602</v>
      </c>
      <c r="BF144" s="138">
        <f>IF(N144="snížená",J144,0)</f>
        <v>0</v>
      </c>
      <c r="BG144" s="138">
        <f>IF(N144="zákl. přenesená",J144,0)</f>
        <v>0</v>
      </c>
      <c r="BH144" s="138">
        <f>IF(N144="sníž. přenesená",J144,0)</f>
        <v>0</v>
      </c>
      <c r="BI144" s="138">
        <f>IF(N144="nulová",J144,0)</f>
        <v>0</v>
      </c>
      <c r="BJ144" s="15" t="s">
        <v>81</v>
      </c>
      <c r="BK144" s="138">
        <f>ROUND(I144*H144,2)</f>
        <v>19602</v>
      </c>
      <c r="BL144" s="15" t="s">
        <v>149</v>
      </c>
      <c r="BM144" s="137" t="s">
        <v>2142</v>
      </c>
    </row>
    <row r="145" spans="2:65" s="12" customFormat="1">
      <c r="B145" s="148"/>
      <c r="D145" s="149" t="s">
        <v>363</v>
      </c>
      <c r="E145" s="154" t="s">
        <v>1</v>
      </c>
      <c r="F145" s="150" t="s">
        <v>2141</v>
      </c>
      <c r="H145" s="151">
        <v>13.5</v>
      </c>
      <c r="L145" s="148"/>
      <c r="M145" s="152"/>
      <c r="T145" s="153"/>
      <c r="AT145" s="154" t="s">
        <v>363</v>
      </c>
      <c r="AU145" s="154" t="s">
        <v>143</v>
      </c>
      <c r="AV145" s="12" t="s">
        <v>143</v>
      </c>
      <c r="AW145" s="12" t="s">
        <v>29</v>
      </c>
      <c r="AX145" s="12" t="s">
        <v>81</v>
      </c>
      <c r="AY145" s="154" t="s">
        <v>141</v>
      </c>
    </row>
    <row r="146" spans="2:65" s="1" customFormat="1" ht="16.5" customHeight="1">
      <c r="B146" s="126"/>
      <c r="C146" s="127" t="s">
        <v>181</v>
      </c>
      <c r="D146" s="127" t="s">
        <v>144</v>
      </c>
      <c r="E146" s="128" t="s">
        <v>2140</v>
      </c>
      <c r="F146" s="129" t="s">
        <v>2139</v>
      </c>
      <c r="G146" s="130" t="s">
        <v>193</v>
      </c>
      <c r="H146" s="131">
        <v>90</v>
      </c>
      <c r="I146" s="132">
        <v>71</v>
      </c>
      <c r="J146" s="132">
        <f>ROUND(I146*H146,2)</f>
        <v>6390</v>
      </c>
      <c r="K146" s="129" t="s">
        <v>148</v>
      </c>
      <c r="L146" s="27"/>
      <c r="M146" s="133" t="s">
        <v>1</v>
      </c>
      <c r="N146" s="134" t="s">
        <v>38</v>
      </c>
      <c r="O146" s="135">
        <v>5.3999999999999999E-2</v>
      </c>
      <c r="P146" s="135">
        <f>O146*H146</f>
        <v>4.8600000000000003</v>
      </c>
      <c r="Q146" s="135">
        <v>1.9000000000000001E-4</v>
      </c>
      <c r="R146" s="135">
        <f>Q146*H146</f>
        <v>1.7100000000000001E-2</v>
      </c>
      <c r="S146" s="135">
        <v>0</v>
      </c>
      <c r="T146" s="136">
        <f>S146*H146</f>
        <v>0</v>
      </c>
      <c r="AR146" s="137" t="s">
        <v>149</v>
      </c>
      <c r="AT146" s="137" t="s">
        <v>144</v>
      </c>
      <c r="AU146" s="137" t="s">
        <v>143</v>
      </c>
      <c r="AY146" s="15" t="s">
        <v>141</v>
      </c>
      <c r="BE146" s="138">
        <f>IF(N146="základní",J146,0)</f>
        <v>6390</v>
      </c>
      <c r="BF146" s="138">
        <f>IF(N146="snížená",J146,0)</f>
        <v>0</v>
      </c>
      <c r="BG146" s="138">
        <f>IF(N146="zákl. přenesená",J146,0)</f>
        <v>0</v>
      </c>
      <c r="BH146" s="138">
        <f>IF(N146="sníž. přenesená",J146,0)</f>
        <v>0</v>
      </c>
      <c r="BI146" s="138">
        <f>IF(N146="nulová",J146,0)</f>
        <v>0</v>
      </c>
      <c r="BJ146" s="15" t="s">
        <v>81</v>
      </c>
      <c r="BK146" s="138">
        <f>ROUND(I146*H146,2)</f>
        <v>6390</v>
      </c>
      <c r="BL146" s="15" t="s">
        <v>149</v>
      </c>
      <c r="BM146" s="137" t="s">
        <v>2138</v>
      </c>
    </row>
    <row r="147" spans="2:65" s="1" customFormat="1" ht="21.75" customHeight="1">
      <c r="B147" s="126"/>
      <c r="C147" s="127" t="s">
        <v>185</v>
      </c>
      <c r="D147" s="127" t="s">
        <v>144</v>
      </c>
      <c r="E147" s="128" t="s">
        <v>2051</v>
      </c>
      <c r="F147" s="129" t="s">
        <v>2050</v>
      </c>
      <c r="G147" s="130" t="s">
        <v>193</v>
      </c>
      <c r="H147" s="131">
        <v>40</v>
      </c>
      <c r="I147" s="132">
        <v>13</v>
      </c>
      <c r="J147" s="132">
        <f>ROUND(I147*H147,2)</f>
        <v>520</v>
      </c>
      <c r="K147" s="129" t="s">
        <v>148</v>
      </c>
      <c r="L147" s="27"/>
      <c r="M147" s="133" t="s">
        <v>1</v>
      </c>
      <c r="N147" s="134" t="s">
        <v>38</v>
      </c>
      <c r="O147" s="135">
        <v>2.3E-2</v>
      </c>
      <c r="P147" s="135">
        <f>O147*H147</f>
        <v>0.91999999999999993</v>
      </c>
      <c r="Q147" s="135">
        <v>6.9999999999999994E-5</v>
      </c>
      <c r="R147" s="135">
        <f>Q147*H147</f>
        <v>2.7999999999999995E-3</v>
      </c>
      <c r="S147" s="135">
        <v>0</v>
      </c>
      <c r="T147" s="136">
        <f>S147*H147</f>
        <v>0</v>
      </c>
      <c r="AR147" s="137" t="s">
        <v>149</v>
      </c>
      <c r="AT147" s="137" t="s">
        <v>144</v>
      </c>
      <c r="AU147" s="137" t="s">
        <v>143</v>
      </c>
      <c r="AY147" s="15" t="s">
        <v>141</v>
      </c>
      <c r="BE147" s="138">
        <f>IF(N147="základní",J147,0)</f>
        <v>520</v>
      </c>
      <c r="BF147" s="138">
        <f>IF(N147="snížená",J147,0)</f>
        <v>0</v>
      </c>
      <c r="BG147" s="138">
        <f>IF(N147="zákl. přenesená",J147,0)</f>
        <v>0</v>
      </c>
      <c r="BH147" s="138">
        <f>IF(N147="sníž. přenesená",J147,0)</f>
        <v>0</v>
      </c>
      <c r="BI147" s="138">
        <f>IF(N147="nulová",J147,0)</f>
        <v>0</v>
      </c>
      <c r="BJ147" s="15" t="s">
        <v>81</v>
      </c>
      <c r="BK147" s="138">
        <f>ROUND(I147*H147,2)</f>
        <v>520</v>
      </c>
      <c r="BL147" s="15" t="s">
        <v>149</v>
      </c>
      <c r="BM147" s="137" t="s">
        <v>2137</v>
      </c>
    </row>
    <row r="148" spans="2:65" s="11" customFormat="1" ht="22.9" customHeight="1">
      <c r="B148" s="115"/>
      <c r="D148" s="116" t="s">
        <v>72</v>
      </c>
      <c r="E148" s="124" t="s">
        <v>172</v>
      </c>
      <c r="F148" s="124" t="s">
        <v>2045</v>
      </c>
      <c r="J148" s="125">
        <f>BK148</f>
        <v>190367</v>
      </c>
      <c r="L148" s="115"/>
      <c r="M148" s="119"/>
      <c r="P148" s="120">
        <f>SUM(P149:P161)</f>
        <v>73.141999999999996</v>
      </c>
      <c r="R148" s="120">
        <f>SUM(R149:R161)</f>
        <v>24.12285</v>
      </c>
      <c r="T148" s="121">
        <f>SUM(T149:T161)</f>
        <v>0</v>
      </c>
      <c r="AR148" s="116" t="s">
        <v>81</v>
      </c>
      <c r="AT148" s="122" t="s">
        <v>72</v>
      </c>
      <c r="AU148" s="122" t="s">
        <v>81</v>
      </c>
      <c r="AY148" s="116" t="s">
        <v>141</v>
      </c>
      <c r="BK148" s="123">
        <f>SUM(BK149:BK161)</f>
        <v>190367</v>
      </c>
    </row>
    <row r="149" spans="2:65" s="1" customFormat="1" ht="37.9" customHeight="1">
      <c r="B149" s="126"/>
      <c r="C149" s="127" t="s">
        <v>190</v>
      </c>
      <c r="D149" s="127" t="s">
        <v>144</v>
      </c>
      <c r="E149" s="128" t="s">
        <v>2136</v>
      </c>
      <c r="F149" s="129" t="s">
        <v>2135</v>
      </c>
      <c r="G149" s="130" t="s">
        <v>193</v>
      </c>
      <c r="H149" s="131">
        <v>55</v>
      </c>
      <c r="I149" s="132">
        <v>68</v>
      </c>
      <c r="J149" s="132">
        <f>ROUND(I149*H149,2)</f>
        <v>3740</v>
      </c>
      <c r="K149" s="129" t="s">
        <v>148</v>
      </c>
      <c r="L149" s="27"/>
      <c r="M149" s="133" t="s">
        <v>1</v>
      </c>
      <c r="N149" s="134" t="s">
        <v>38</v>
      </c>
      <c r="O149" s="135">
        <v>0.155</v>
      </c>
      <c r="P149" s="135">
        <f>O149*H149</f>
        <v>8.5250000000000004</v>
      </c>
      <c r="Q149" s="135">
        <v>0</v>
      </c>
      <c r="R149" s="135">
        <f>Q149*H149</f>
        <v>0</v>
      </c>
      <c r="S149" s="135">
        <v>0</v>
      </c>
      <c r="T149" s="136">
        <f>S149*H149</f>
        <v>0</v>
      </c>
      <c r="AR149" s="137" t="s">
        <v>149</v>
      </c>
      <c r="AT149" s="137" t="s">
        <v>144</v>
      </c>
      <c r="AU149" s="137" t="s">
        <v>143</v>
      </c>
      <c r="AY149" s="15" t="s">
        <v>141</v>
      </c>
      <c r="BE149" s="138">
        <f>IF(N149="základní",J149,0)</f>
        <v>3740</v>
      </c>
      <c r="BF149" s="138">
        <f>IF(N149="snížená",J149,0)</f>
        <v>0</v>
      </c>
      <c r="BG149" s="138">
        <f>IF(N149="zákl. přenesená",J149,0)</f>
        <v>0</v>
      </c>
      <c r="BH149" s="138">
        <f>IF(N149="sníž. přenesená",J149,0)</f>
        <v>0</v>
      </c>
      <c r="BI149" s="138">
        <f>IF(N149="nulová",J149,0)</f>
        <v>0</v>
      </c>
      <c r="BJ149" s="15" t="s">
        <v>81</v>
      </c>
      <c r="BK149" s="138">
        <f>ROUND(I149*H149,2)</f>
        <v>3740</v>
      </c>
      <c r="BL149" s="15" t="s">
        <v>149</v>
      </c>
      <c r="BM149" s="137" t="s">
        <v>2134</v>
      </c>
    </row>
    <row r="150" spans="2:65" s="1" customFormat="1" ht="24.2" customHeight="1">
      <c r="B150" s="126"/>
      <c r="C150" s="139" t="s">
        <v>195</v>
      </c>
      <c r="D150" s="139" t="s">
        <v>207</v>
      </c>
      <c r="E150" s="140" t="s">
        <v>2133</v>
      </c>
      <c r="F150" s="141" t="s">
        <v>2132</v>
      </c>
      <c r="G150" s="142" t="s">
        <v>193</v>
      </c>
      <c r="H150" s="143">
        <v>55</v>
      </c>
      <c r="I150" s="144">
        <v>75.400000000000006</v>
      </c>
      <c r="J150" s="144">
        <f>ROUND(I150*H150,2)</f>
        <v>4147</v>
      </c>
      <c r="K150" s="141" t="s">
        <v>148</v>
      </c>
      <c r="L150" s="145"/>
      <c r="M150" s="146" t="s">
        <v>1</v>
      </c>
      <c r="N150" s="147" t="s">
        <v>38</v>
      </c>
      <c r="O150" s="135">
        <v>0</v>
      </c>
      <c r="P150" s="135">
        <f>O150*H150</f>
        <v>0</v>
      </c>
      <c r="Q150" s="135">
        <v>4.2999999999999999E-4</v>
      </c>
      <c r="R150" s="135">
        <f>Q150*H150</f>
        <v>2.3650000000000001E-2</v>
      </c>
      <c r="S150" s="135">
        <v>0</v>
      </c>
      <c r="T150" s="136">
        <f>S150*H150</f>
        <v>0</v>
      </c>
      <c r="AR150" s="137" t="s">
        <v>172</v>
      </c>
      <c r="AT150" s="137" t="s">
        <v>207</v>
      </c>
      <c r="AU150" s="137" t="s">
        <v>143</v>
      </c>
      <c r="AY150" s="15" t="s">
        <v>141</v>
      </c>
      <c r="BE150" s="138">
        <f>IF(N150="základní",J150,0)</f>
        <v>4147</v>
      </c>
      <c r="BF150" s="138">
        <f>IF(N150="snížená",J150,0)</f>
        <v>0</v>
      </c>
      <c r="BG150" s="138">
        <f>IF(N150="zákl. přenesená",J150,0)</f>
        <v>0</v>
      </c>
      <c r="BH150" s="138">
        <f>IF(N150="sníž. přenesená",J150,0)</f>
        <v>0</v>
      </c>
      <c r="BI150" s="138">
        <f>IF(N150="nulová",J150,0)</f>
        <v>0</v>
      </c>
      <c r="BJ150" s="15" t="s">
        <v>81</v>
      </c>
      <c r="BK150" s="138">
        <f>ROUND(I150*H150,2)</f>
        <v>4147</v>
      </c>
      <c r="BL150" s="15" t="s">
        <v>149</v>
      </c>
      <c r="BM150" s="137" t="s">
        <v>2131</v>
      </c>
    </row>
    <row r="151" spans="2:65" s="12" customFormat="1" ht="22.5">
      <c r="B151" s="148"/>
      <c r="D151" s="149" t="s">
        <v>363</v>
      </c>
      <c r="F151" s="150" t="s">
        <v>2130</v>
      </c>
      <c r="H151" s="151">
        <v>55</v>
      </c>
      <c r="L151" s="148"/>
      <c r="M151" s="152"/>
      <c r="T151" s="153"/>
      <c r="AT151" s="154" t="s">
        <v>363</v>
      </c>
      <c r="AU151" s="154" t="s">
        <v>143</v>
      </c>
      <c r="AV151" s="12" t="s">
        <v>143</v>
      </c>
      <c r="AW151" s="12" t="s">
        <v>3</v>
      </c>
      <c r="AX151" s="12" t="s">
        <v>81</v>
      </c>
      <c r="AY151" s="154" t="s">
        <v>141</v>
      </c>
    </row>
    <row r="152" spans="2:65" s="1" customFormat="1" ht="37.9" customHeight="1">
      <c r="B152" s="126"/>
      <c r="C152" s="127" t="s">
        <v>199</v>
      </c>
      <c r="D152" s="127" t="s">
        <v>144</v>
      </c>
      <c r="E152" s="128" t="s">
        <v>2129</v>
      </c>
      <c r="F152" s="129" t="s">
        <v>2128</v>
      </c>
      <c r="G152" s="130" t="s">
        <v>193</v>
      </c>
      <c r="H152" s="131">
        <v>35</v>
      </c>
      <c r="I152" s="132">
        <v>102</v>
      </c>
      <c r="J152" s="132">
        <f t="shared" ref="J152:J161" si="0">ROUND(I152*H152,2)</f>
        <v>3570</v>
      </c>
      <c r="K152" s="129" t="s">
        <v>148</v>
      </c>
      <c r="L152" s="27"/>
      <c r="M152" s="133" t="s">
        <v>1</v>
      </c>
      <c r="N152" s="134" t="s">
        <v>38</v>
      </c>
      <c r="O152" s="135">
        <v>0.23300000000000001</v>
      </c>
      <c r="P152" s="135">
        <f t="shared" ref="P152:P161" si="1">O152*H152</f>
        <v>8.1550000000000011</v>
      </c>
      <c r="Q152" s="135">
        <v>0</v>
      </c>
      <c r="R152" s="135">
        <f t="shared" ref="R152:R161" si="2">Q152*H152</f>
        <v>0</v>
      </c>
      <c r="S152" s="135">
        <v>0</v>
      </c>
      <c r="T152" s="136">
        <f t="shared" ref="T152:T161" si="3">S152*H152</f>
        <v>0</v>
      </c>
      <c r="AR152" s="137" t="s">
        <v>149</v>
      </c>
      <c r="AT152" s="137" t="s">
        <v>144</v>
      </c>
      <c r="AU152" s="137" t="s">
        <v>143</v>
      </c>
      <c r="AY152" s="15" t="s">
        <v>141</v>
      </c>
      <c r="BE152" s="138">
        <f t="shared" ref="BE152:BE161" si="4">IF(N152="základní",J152,0)</f>
        <v>3570</v>
      </c>
      <c r="BF152" s="138">
        <f t="shared" ref="BF152:BF161" si="5">IF(N152="snížená",J152,0)</f>
        <v>0</v>
      </c>
      <c r="BG152" s="138">
        <f t="shared" ref="BG152:BG161" si="6">IF(N152="zákl. přenesená",J152,0)</f>
        <v>0</v>
      </c>
      <c r="BH152" s="138">
        <f t="shared" ref="BH152:BH161" si="7">IF(N152="sníž. přenesená",J152,0)</f>
        <v>0</v>
      </c>
      <c r="BI152" s="138">
        <f t="shared" ref="BI152:BI161" si="8">IF(N152="nulová",J152,0)</f>
        <v>0</v>
      </c>
      <c r="BJ152" s="15" t="s">
        <v>81</v>
      </c>
      <c r="BK152" s="138">
        <f t="shared" ref="BK152:BK161" si="9">ROUND(I152*H152,2)</f>
        <v>3570</v>
      </c>
      <c r="BL152" s="15" t="s">
        <v>149</v>
      </c>
      <c r="BM152" s="137" t="s">
        <v>2127</v>
      </c>
    </row>
    <row r="153" spans="2:65" s="1" customFormat="1" ht="24.2" customHeight="1">
      <c r="B153" s="126"/>
      <c r="C153" s="139" t="s">
        <v>8</v>
      </c>
      <c r="D153" s="139" t="s">
        <v>207</v>
      </c>
      <c r="E153" s="140" t="s">
        <v>2126</v>
      </c>
      <c r="F153" s="141" t="s">
        <v>2125</v>
      </c>
      <c r="G153" s="142" t="s">
        <v>193</v>
      </c>
      <c r="H153" s="143">
        <v>35</v>
      </c>
      <c r="I153" s="144">
        <v>172</v>
      </c>
      <c r="J153" s="144">
        <f t="shared" si="0"/>
        <v>6020</v>
      </c>
      <c r="K153" s="141" t="s">
        <v>148</v>
      </c>
      <c r="L153" s="145"/>
      <c r="M153" s="146" t="s">
        <v>1</v>
      </c>
      <c r="N153" s="147" t="s">
        <v>38</v>
      </c>
      <c r="O153" s="135">
        <v>0</v>
      </c>
      <c r="P153" s="135">
        <f t="shared" si="1"/>
        <v>0</v>
      </c>
      <c r="Q153" s="135">
        <v>1.06E-3</v>
      </c>
      <c r="R153" s="135">
        <f t="shared" si="2"/>
        <v>3.7100000000000001E-2</v>
      </c>
      <c r="S153" s="135">
        <v>0</v>
      </c>
      <c r="T153" s="136">
        <f t="shared" si="3"/>
        <v>0</v>
      </c>
      <c r="AR153" s="137" t="s">
        <v>172</v>
      </c>
      <c r="AT153" s="137" t="s">
        <v>207</v>
      </c>
      <c r="AU153" s="137" t="s">
        <v>143</v>
      </c>
      <c r="AY153" s="15" t="s">
        <v>141</v>
      </c>
      <c r="BE153" s="138">
        <f t="shared" si="4"/>
        <v>6020</v>
      </c>
      <c r="BF153" s="138">
        <f t="shared" si="5"/>
        <v>0</v>
      </c>
      <c r="BG153" s="138">
        <f t="shared" si="6"/>
        <v>0</v>
      </c>
      <c r="BH153" s="138">
        <f t="shared" si="7"/>
        <v>0</v>
      </c>
      <c r="BI153" s="138">
        <f t="shared" si="8"/>
        <v>0</v>
      </c>
      <c r="BJ153" s="15" t="s">
        <v>81</v>
      </c>
      <c r="BK153" s="138">
        <f t="shared" si="9"/>
        <v>6020</v>
      </c>
      <c r="BL153" s="15" t="s">
        <v>149</v>
      </c>
      <c r="BM153" s="137" t="s">
        <v>2124</v>
      </c>
    </row>
    <row r="154" spans="2:65" s="1" customFormat="1" ht="49.15" customHeight="1">
      <c r="B154" s="126"/>
      <c r="C154" s="127" t="s">
        <v>206</v>
      </c>
      <c r="D154" s="127" t="s">
        <v>144</v>
      </c>
      <c r="E154" s="128" t="s">
        <v>2123</v>
      </c>
      <c r="F154" s="129" t="s">
        <v>2122</v>
      </c>
      <c r="G154" s="130" t="s">
        <v>147</v>
      </c>
      <c r="H154" s="131">
        <v>1</v>
      </c>
      <c r="I154" s="132">
        <v>870</v>
      </c>
      <c r="J154" s="132">
        <f t="shared" si="0"/>
        <v>870</v>
      </c>
      <c r="K154" s="129" t="s">
        <v>148</v>
      </c>
      <c r="L154" s="27"/>
      <c r="M154" s="133" t="s">
        <v>1</v>
      </c>
      <c r="N154" s="134" t="s">
        <v>38</v>
      </c>
      <c r="O154" s="135">
        <v>1.278</v>
      </c>
      <c r="P154" s="135">
        <f t="shared" si="1"/>
        <v>1.278</v>
      </c>
      <c r="Q154" s="135">
        <v>7.2000000000000005E-4</v>
      </c>
      <c r="R154" s="135">
        <f t="shared" si="2"/>
        <v>7.2000000000000005E-4</v>
      </c>
      <c r="S154" s="135">
        <v>0</v>
      </c>
      <c r="T154" s="136">
        <f t="shared" si="3"/>
        <v>0</v>
      </c>
      <c r="AR154" s="137" t="s">
        <v>149</v>
      </c>
      <c r="AT154" s="137" t="s">
        <v>144</v>
      </c>
      <c r="AU154" s="137" t="s">
        <v>143</v>
      </c>
      <c r="AY154" s="15" t="s">
        <v>141</v>
      </c>
      <c r="BE154" s="138">
        <f t="shared" si="4"/>
        <v>870</v>
      </c>
      <c r="BF154" s="138">
        <f t="shared" si="5"/>
        <v>0</v>
      </c>
      <c r="BG154" s="138">
        <f t="shared" si="6"/>
        <v>0</v>
      </c>
      <c r="BH154" s="138">
        <f t="shared" si="7"/>
        <v>0</v>
      </c>
      <c r="BI154" s="138">
        <f t="shared" si="8"/>
        <v>0</v>
      </c>
      <c r="BJ154" s="15" t="s">
        <v>81</v>
      </c>
      <c r="BK154" s="138">
        <f t="shared" si="9"/>
        <v>870</v>
      </c>
      <c r="BL154" s="15" t="s">
        <v>149</v>
      </c>
      <c r="BM154" s="137" t="s">
        <v>2121</v>
      </c>
    </row>
    <row r="155" spans="2:65" s="1" customFormat="1" ht="24.2" customHeight="1">
      <c r="B155" s="126"/>
      <c r="C155" s="139" t="s">
        <v>211</v>
      </c>
      <c r="D155" s="139" t="s">
        <v>207</v>
      </c>
      <c r="E155" s="140" t="s">
        <v>2120</v>
      </c>
      <c r="F155" s="141" t="s">
        <v>2119</v>
      </c>
      <c r="G155" s="142" t="s">
        <v>147</v>
      </c>
      <c r="H155" s="143">
        <v>1</v>
      </c>
      <c r="I155" s="144">
        <v>56700</v>
      </c>
      <c r="J155" s="144">
        <f t="shared" si="0"/>
        <v>56700</v>
      </c>
      <c r="K155" s="141" t="s">
        <v>1</v>
      </c>
      <c r="L155" s="145"/>
      <c r="M155" s="146" t="s">
        <v>1</v>
      </c>
      <c r="N155" s="147" t="s">
        <v>38</v>
      </c>
      <c r="O155" s="135">
        <v>0</v>
      </c>
      <c r="P155" s="135">
        <f t="shared" si="1"/>
        <v>0</v>
      </c>
      <c r="Q155" s="135">
        <v>0.09</v>
      </c>
      <c r="R155" s="135">
        <f t="shared" si="2"/>
        <v>0.09</v>
      </c>
      <c r="S155" s="135">
        <v>0</v>
      </c>
      <c r="T155" s="136">
        <f t="shared" si="3"/>
        <v>0</v>
      </c>
      <c r="AR155" s="137" t="s">
        <v>172</v>
      </c>
      <c r="AT155" s="137" t="s">
        <v>207</v>
      </c>
      <c r="AU155" s="137" t="s">
        <v>143</v>
      </c>
      <c r="AY155" s="15" t="s">
        <v>141</v>
      </c>
      <c r="BE155" s="138">
        <f t="shared" si="4"/>
        <v>56700</v>
      </c>
      <c r="BF155" s="138">
        <f t="shared" si="5"/>
        <v>0</v>
      </c>
      <c r="BG155" s="138">
        <f t="shared" si="6"/>
        <v>0</v>
      </c>
      <c r="BH155" s="138">
        <f t="shared" si="7"/>
        <v>0</v>
      </c>
      <c r="BI155" s="138">
        <f t="shared" si="8"/>
        <v>0</v>
      </c>
      <c r="BJ155" s="15" t="s">
        <v>81</v>
      </c>
      <c r="BK155" s="138">
        <f t="shared" si="9"/>
        <v>56700</v>
      </c>
      <c r="BL155" s="15" t="s">
        <v>149</v>
      </c>
      <c r="BM155" s="137" t="s">
        <v>2118</v>
      </c>
    </row>
    <row r="156" spans="2:65" s="1" customFormat="1" ht="24.2" customHeight="1">
      <c r="B156" s="126"/>
      <c r="C156" s="139" t="s">
        <v>215</v>
      </c>
      <c r="D156" s="139" t="s">
        <v>207</v>
      </c>
      <c r="E156" s="140" t="s">
        <v>2117</v>
      </c>
      <c r="F156" s="141" t="s">
        <v>2116</v>
      </c>
      <c r="G156" s="142" t="s">
        <v>147</v>
      </c>
      <c r="H156" s="143">
        <v>1</v>
      </c>
      <c r="I156" s="144">
        <v>4290</v>
      </c>
      <c r="J156" s="144">
        <f t="shared" si="0"/>
        <v>4290</v>
      </c>
      <c r="K156" s="141" t="s">
        <v>148</v>
      </c>
      <c r="L156" s="145"/>
      <c r="M156" s="146" t="s">
        <v>1</v>
      </c>
      <c r="N156" s="147" t="s">
        <v>38</v>
      </c>
      <c r="O156" s="135">
        <v>0</v>
      </c>
      <c r="P156" s="135">
        <f t="shared" si="1"/>
        <v>0</v>
      </c>
      <c r="Q156" s="135">
        <v>5.1999999999999998E-3</v>
      </c>
      <c r="R156" s="135">
        <f t="shared" si="2"/>
        <v>5.1999999999999998E-3</v>
      </c>
      <c r="S156" s="135">
        <v>0</v>
      </c>
      <c r="T156" s="136">
        <f t="shared" si="3"/>
        <v>0</v>
      </c>
      <c r="AR156" s="137" t="s">
        <v>172</v>
      </c>
      <c r="AT156" s="137" t="s">
        <v>207</v>
      </c>
      <c r="AU156" s="137" t="s">
        <v>143</v>
      </c>
      <c r="AY156" s="15" t="s">
        <v>141</v>
      </c>
      <c r="BE156" s="138">
        <f t="shared" si="4"/>
        <v>4290</v>
      </c>
      <c r="BF156" s="138">
        <f t="shared" si="5"/>
        <v>0</v>
      </c>
      <c r="BG156" s="138">
        <f t="shared" si="6"/>
        <v>0</v>
      </c>
      <c r="BH156" s="138">
        <f t="shared" si="7"/>
        <v>0</v>
      </c>
      <c r="BI156" s="138">
        <f t="shared" si="8"/>
        <v>0</v>
      </c>
      <c r="BJ156" s="15" t="s">
        <v>81</v>
      </c>
      <c r="BK156" s="138">
        <f t="shared" si="9"/>
        <v>4290</v>
      </c>
      <c r="BL156" s="15" t="s">
        <v>149</v>
      </c>
      <c r="BM156" s="137" t="s">
        <v>2115</v>
      </c>
    </row>
    <row r="157" spans="2:65" s="1" customFormat="1" ht="24.2" customHeight="1">
      <c r="B157" s="126"/>
      <c r="C157" s="139" t="s">
        <v>217</v>
      </c>
      <c r="D157" s="139" t="s">
        <v>207</v>
      </c>
      <c r="E157" s="140" t="s">
        <v>2114</v>
      </c>
      <c r="F157" s="141" t="s">
        <v>2113</v>
      </c>
      <c r="G157" s="142" t="s">
        <v>147</v>
      </c>
      <c r="H157" s="143">
        <v>1</v>
      </c>
      <c r="I157" s="144">
        <v>948</v>
      </c>
      <c r="J157" s="144">
        <f t="shared" si="0"/>
        <v>948</v>
      </c>
      <c r="K157" s="141" t="s">
        <v>368</v>
      </c>
      <c r="L157" s="145"/>
      <c r="M157" s="146" t="s">
        <v>1</v>
      </c>
      <c r="N157" s="147" t="s">
        <v>38</v>
      </c>
      <c r="O157" s="135">
        <v>0</v>
      </c>
      <c r="P157" s="135">
        <f t="shared" si="1"/>
        <v>0</v>
      </c>
      <c r="Q157" s="135">
        <v>1.3299999999999999E-2</v>
      </c>
      <c r="R157" s="135">
        <f t="shared" si="2"/>
        <v>1.3299999999999999E-2</v>
      </c>
      <c r="S157" s="135">
        <v>0</v>
      </c>
      <c r="T157" s="136">
        <f t="shared" si="3"/>
        <v>0</v>
      </c>
      <c r="AR157" s="137" t="s">
        <v>172</v>
      </c>
      <c r="AT157" s="137" t="s">
        <v>207</v>
      </c>
      <c r="AU157" s="137" t="s">
        <v>143</v>
      </c>
      <c r="AY157" s="15" t="s">
        <v>141</v>
      </c>
      <c r="BE157" s="138">
        <f t="shared" si="4"/>
        <v>948</v>
      </c>
      <c r="BF157" s="138">
        <f t="shared" si="5"/>
        <v>0</v>
      </c>
      <c r="BG157" s="138">
        <f t="shared" si="6"/>
        <v>0</v>
      </c>
      <c r="BH157" s="138">
        <f t="shared" si="7"/>
        <v>0</v>
      </c>
      <c r="BI157" s="138">
        <f t="shared" si="8"/>
        <v>0</v>
      </c>
      <c r="BJ157" s="15" t="s">
        <v>81</v>
      </c>
      <c r="BK157" s="138">
        <f t="shared" si="9"/>
        <v>948</v>
      </c>
      <c r="BL157" s="15" t="s">
        <v>149</v>
      </c>
      <c r="BM157" s="137" t="s">
        <v>2112</v>
      </c>
    </row>
    <row r="158" spans="2:65" s="1" customFormat="1" ht="24.2" customHeight="1">
      <c r="B158" s="126"/>
      <c r="C158" s="139" t="s">
        <v>221</v>
      </c>
      <c r="D158" s="139" t="s">
        <v>207</v>
      </c>
      <c r="E158" s="140" t="s">
        <v>2111</v>
      </c>
      <c r="F158" s="141" t="s">
        <v>2110</v>
      </c>
      <c r="G158" s="142" t="s">
        <v>147</v>
      </c>
      <c r="H158" s="143">
        <v>1</v>
      </c>
      <c r="I158" s="144">
        <v>652</v>
      </c>
      <c r="J158" s="144">
        <f t="shared" si="0"/>
        <v>652</v>
      </c>
      <c r="K158" s="141" t="s">
        <v>148</v>
      </c>
      <c r="L158" s="145"/>
      <c r="M158" s="146" t="s">
        <v>1</v>
      </c>
      <c r="N158" s="147" t="s">
        <v>38</v>
      </c>
      <c r="O158" s="135">
        <v>0</v>
      </c>
      <c r="P158" s="135">
        <f t="shared" si="1"/>
        <v>0</v>
      </c>
      <c r="Q158" s="135">
        <v>3.5000000000000001E-3</v>
      </c>
      <c r="R158" s="135">
        <f t="shared" si="2"/>
        <v>3.5000000000000001E-3</v>
      </c>
      <c r="S158" s="135">
        <v>0</v>
      </c>
      <c r="T158" s="136">
        <f t="shared" si="3"/>
        <v>0</v>
      </c>
      <c r="AR158" s="137" t="s">
        <v>172</v>
      </c>
      <c r="AT158" s="137" t="s">
        <v>207</v>
      </c>
      <c r="AU158" s="137" t="s">
        <v>143</v>
      </c>
      <c r="AY158" s="15" t="s">
        <v>141</v>
      </c>
      <c r="BE158" s="138">
        <f t="shared" si="4"/>
        <v>652</v>
      </c>
      <c r="BF158" s="138">
        <f t="shared" si="5"/>
        <v>0</v>
      </c>
      <c r="BG158" s="138">
        <f t="shared" si="6"/>
        <v>0</v>
      </c>
      <c r="BH158" s="138">
        <f t="shared" si="7"/>
        <v>0</v>
      </c>
      <c r="BI158" s="138">
        <f t="shared" si="8"/>
        <v>0</v>
      </c>
      <c r="BJ158" s="15" t="s">
        <v>81</v>
      </c>
      <c r="BK158" s="138">
        <f t="shared" si="9"/>
        <v>652</v>
      </c>
      <c r="BL158" s="15" t="s">
        <v>149</v>
      </c>
      <c r="BM158" s="137" t="s">
        <v>2109</v>
      </c>
    </row>
    <row r="159" spans="2:65" s="1" customFormat="1" ht="24.2" customHeight="1">
      <c r="B159" s="126"/>
      <c r="C159" s="127" t="s">
        <v>7</v>
      </c>
      <c r="D159" s="127" t="s">
        <v>144</v>
      </c>
      <c r="E159" s="128" t="s">
        <v>2108</v>
      </c>
      <c r="F159" s="129" t="s">
        <v>2107</v>
      </c>
      <c r="G159" s="130" t="s">
        <v>147</v>
      </c>
      <c r="H159" s="131">
        <v>1</v>
      </c>
      <c r="I159" s="132">
        <v>1430</v>
      </c>
      <c r="J159" s="132">
        <f t="shared" si="0"/>
        <v>1430</v>
      </c>
      <c r="K159" s="129" t="s">
        <v>148</v>
      </c>
      <c r="L159" s="27"/>
      <c r="M159" s="133" t="s">
        <v>1</v>
      </c>
      <c r="N159" s="134" t="s">
        <v>38</v>
      </c>
      <c r="O159" s="135">
        <v>1.9590000000000001</v>
      </c>
      <c r="P159" s="135">
        <f t="shared" si="1"/>
        <v>1.9590000000000001</v>
      </c>
      <c r="Q159" s="135">
        <v>1.3600000000000001E-3</v>
      </c>
      <c r="R159" s="135">
        <f t="shared" si="2"/>
        <v>1.3600000000000001E-3</v>
      </c>
      <c r="S159" s="135">
        <v>0</v>
      </c>
      <c r="T159" s="136">
        <f t="shared" si="3"/>
        <v>0</v>
      </c>
      <c r="AR159" s="137" t="s">
        <v>149</v>
      </c>
      <c r="AT159" s="137" t="s">
        <v>144</v>
      </c>
      <c r="AU159" s="137" t="s">
        <v>143</v>
      </c>
      <c r="AY159" s="15" t="s">
        <v>141</v>
      </c>
      <c r="BE159" s="138">
        <f t="shared" si="4"/>
        <v>1430</v>
      </c>
      <c r="BF159" s="138">
        <f t="shared" si="5"/>
        <v>0</v>
      </c>
      <c r="BG159" s="138">
        <f t="shared" si="6"/>
        <v>0</v>
      </c>
      <c r="BH159" s="138">
        <f t="shared" si="7"/>
        <v>0</v>
      </c>
      <c r="BI159" s="138">
        <f t="shared" si="8"/>
        <v>0</v>
      </c>
      <c r="BJ159" s="15" t="s">
        <v>81</v>
      </c>
      <c r="BK159" s="138">
        <f t="shared" si="9"/>
        <v>1430</v>
      </c>
      <c r="BL159" s="15" t="s">
        <v>149</v>
      </c>
      <c r="BM159" s="137" t="s">
        <v>2106</v>
      </c>
    </row>
    <row r="160" spans="2:65" s="1" customFormat="1" ht="24.2" customHeight="1">
      <c r="B160" s="126"/>
      <c r="C160" s="139" t="s">
        <v>228</v>
      </c>
      <c r="D160" s="139" t="s">
        <v>207</v>
      </c>
      <c r="E160" s="140" t="s">
        <v>2105</v>
      </c>
      <c r="F160" s="141" t="s">
        <v>2104</v>
      </c>
      <c r="G160" s="142" t="s">
        <v>147</v>
      </c>
      <c r="H160" s="143">
        <v>1</v>
      </c>
      <c r="I160" s="144">
        <v>53500</v>
      </c>
      <c r="J160" s="144">
        <f t="shared" si="0"/>
        <v>53500</v>
      </c>
      <c r="K160" s="141" t="s">
        <v>148</v>
      </c>
      <c r="L160" s="145"/>
      <c r="M160" s="146" t="s">
        <v>1</v>
      </c>
      <c r="N160" s="147" t="s">
        <v>38</v>
      </c>
      <c r="O160" s="135">
        <v>0</v>
      </c>
      <c r="P160" s="135">
        <f t="shared" si="1"/>
        <v>0</v>
      </c>
      <c r="Q160" s="135">
        <v>8.7999999999999995E-2</v>
      </c>
      <c r="R160" s="135">
        <f t="shared" si="2"/>
        <v>8.7999999999999995E-2</v>
      </c>
      <c r="S160" s="135">
        <v>0</v>
      </c>
      <c r="T160" s="136">
        <f t="shared" si="3"/>
        <v>0</v>
      </c>
      <c r="AR160" s="137" t="s">
        <v>172</v>
      </c>
      <c r="AT160" s="137" t="s">
        <v>207</v>
      </c>
      <c r="AU160" s="137" t="s">
        <v>143</v>
      </c>
      <c r="AY160" s="15" t="s">
        <v>141</v>
      </c>
      <c r="BE160" s="138">
        <f t="shared" si="4"/>
        <v>53500</v>
      </c>
      <c r="BF160" s="138">
        <f t="shared" si="5"/>
        <v>0</v>
      </c>
      <c r="BG160" s="138">
        <f t="shared" si="6"/>
        <v>0</v>
      </c>
      <c r="BH160" s="138">
        <f t="shared" si="7"/>
        <v>0</v>
      </c>
      <c r="BI160" s="138">
        <f t="shared" si="8"/>
        <v>0</v>
      </c>
      <c r="BJ160" s="15" t="s">
        <v>81</v>
      </c>
      <c r="BK160" s="138">
        <f t="shared" si="9"/>
        <v>53500</v>
      </c>
      <c r="BL160" s="15" t="s">
        <v>149</v>
      </c>
      <c r="BM160" s="137" t="s">
        <v>2103</v>
      </c>
    </row>
    <row r="161" spans="2:65" s="1" customFormat="1" ht="33" customHeight="1">
      <c r="B161" s="126"/>
      <c r="C161" s="127" t="s">
        <v>232</v>
      </c>
      <c r="D161" s="127" t="s">
        <v>144</v>
      </c>
      <c r="E161" s="128" t="s">
        <v>2102</v>
      </c>
      <c r="F161" s="129" t="s">
        <v>2101</v>
      </c>
      <c r="G161" s="130" t="s">
        <v>147</v>
      </c>
      <c r="H161" s="131">
        <v>1</v>
      </c>
      <c r="I161" s="132">
        <v>54500</v>
      </c>
      <c r="J161" s="132">
        <f t="shared" si="0"/>
        <v>54500</v>
      </c>
      <c r="K161" s="129" t="s">
        <v>148</v>
      </c>
      <c r="L161" s="27"/>
      <c r="M161" s="155" t="s">
        <v>1</v>
      </c>
      <c r="N161" s="156" t="s">
        <v>38</v>
      </c>
      <c r="O161" s="157">
        <v>53.225000000000001</v>
      </c>
      <c r="P161" s="157">
        <f t="shared" si="1"/>
        <v>53.225000000000001</v>
      </c>
      <c r="Q161" s="157">
        <v>23.860019999999999</v>
      </c>
      <c r="R161" s="157">
        <f t="shared" si="2"/>
        <v>23.860019999999999</v>
      </c>
      <c r="S161" s="157">
        <v>0</v>
      </c>
      <c r="T161" s="158">
        <f t="shared" si="3"/>
        <v>0</v>
      </c>
      <c r="AR161" s="137" t="s">
        <v>149</v>
      </c>
      <c r="AT161" s="137" t="s">
        <v>144</v>
      </c>
      <c r="AU161" s="137" t="s">
        <v>143</v>
      </c>
      <c r="AY161" s="15" t="s">
        <v>141</v>
      </c>
      <c r="BE161" s="138">
        <f t="shared" si="4"/>
        <v>54500</v>
      </c>
      <c r="BF161" s="138">
        <f t="shared" si="5"/>
        <v>0</v>
      </c>
      <c r="BG161" s="138">
        <f t="shared" si="6"/>
        <v>0</v>
      </c>
      <c r="BH161" s="138">
        <f t="shared" si="7"/>
        <v>0</v>
      </c>
      <c r="BI161" s="138">
        <f t="shared" si="8"/>
        <v>0</v>
      </c>
      <c r="BJ161" s="15" t="s">
        <v>81</v>
      </c>
      <c r="BK161" s="138">
        <f t="shared" si="9"/>
        <v>54500</v>
      </c>
      <c r="BL161" s="15" t="s">
        <v>149</v>
      </c>
      <c r="BM161" s="137" t="s">
        <v>2100</v>
      </c>
    </row>
    <row r="162" spans="2:65" s="1" customFormat="1" ht="6.95" customHeight="1">
      <c r="B162" s="39"/>
      <c r="C162" s="40"/>
      <c r="D162" s="40"/>
      <c r="E162" s="40"/>
      <c r="F162" s="40"/>
      <c r="G162" s="40"/>
      <c r="H162" s="40"/>
      <c r="I162" s="40"/>
      <c r="J162" s="40"/>
      <c r="K162" s="40"/>
      <c r="L162" s="27"/>
    </row>
  </sheetData>
  <autoFilter ref="C118:K161" xr:uid="{00000000-0009-0000-0000-000004000000}"/>
  <mergeCells count="9">
    <mergeCell ref="E87:H87"/>
    <mergeCell ref="E109:H109"/>
    <mergeCell ref="E111:H11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437"/>
  <sheetViews>
    <sheetView showGridLines="0" topLeftCell="A311" workbookViewId="0">
      <selection activeCell="I327" sqref="I327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69" t="s">
        <v>5</v>
      </c>
      <c r="M2" s="250"/>
      <c r="N2" s="250"/>
      <c r="O2" s="250"/>
      <c r="P2" s="250"/>
      <c r="Q2" s="250"/>
      <c r="R2" s="250"/>
      <c r="S2" s="250"/>
      <c r="T2" s="250"/>
      <c r="U2" s="250"/>
      <c r="V2" s="250"/>
      <c r="AT2" s="15" t="s">
        <v>85</v>
      </c>
    </row>
    <row r="3" spans="2:46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81</v>
      </c>
    </row>
    <row r="4" spans="2:46" ht="24.95" customHeight="1">
      <c r="B4" s="18"/>
      <c r="D4" s="19" t="s">
        <v>89</v>
      </c>
      <c r="L4" s="18"/>
      <c r="M4" s="83" t="s">
        <v>10</v>
      </c>
      <c r="AT4" s="15" t="s">
        <v>3</v>
      </c>
    </row>
    <row r="5" spans="2:46" ht="6.95" customHeight="1">
      <c r="B5" s="18"/>
      <c r="L5" s="18"/>
    </row>
    <row r="6" spans="2:46" ht="12" customHeight="1">
      <c r="B6" s="18"/>
      <c r="D6" s="24" t="s">
        <v>14</v>
      </c>
      <c r="L6" s="18"/>
    </row>
    <row r="7" spans="2:46" ht="16.5" customHeight="1">
      <c r="B7" s="18"/>
      <c r="E7" s="283" t="str">
        <f>'Rekapitulace stavby'!K6</f>
        <v>Komunitní sociální služby DOZP</v>
      </c>
      <c r="F7" s="284"/>
      <c r="G7" s="284"/>
      <c r="H7" s="284"/>
      <c r="L7" s="18"/>
    </row>
    <row r="8" spans="2:46" s="1" customFormat="1" ht="12" customHeight="1">
      <c r="B8" s="27"/>
      <c r="D8" s="24" t="s">
        <v>90</v>
      </c>
      <c r="L8" s="27"/>
    </row>
    <row r="9" spans="2:46" s="1" customFormat="1" ht="16.5" customHeight="1">
      <c r="B9" s="27"/>
      <c r="E9" s="270" t="s">
        <v>1142</v>
      </c>
      <c r="F9" s="285"/>
      <c r="G9" s="285"/>
      <c r="H9" s="285"/>
      <c r="L9" s="27"/>
    </row>
    <row r="10" spans="2:46" s="1" customFormat="1">
      <c r="B10" s="27"/>
      <c r="L10" s="27"/>
    </row>
    <row r="11" spans="2:46" s="1" customFormat="1" ht="12" customHeight="1">
      <c r="B11" s="27"/>
      <c r="D11" s="24" t="s">
        <v>16</v>
      </c>
      <c r="F11" s="22" t="s">
        <v>1</v>
      </c>
      <c r="I11" s="24" t="s">
        <v>17</v>
      </c>
      <c r="J11" s="22" t="s">
        <v>1</v>
      </c>
      <c r="L11" s="27"/>
    </row>
    <row r="12" spans="2:46" s="1" customFormat="1" ht="12" customHeight="1">
      <c r="B12" s="27"/>
      <c r="D12" s="24" t="s">
        <v>18</v>
      </c>
      <c r="F12" s="22" t="s">
        <v>19</v>
      </c>
      <c r="I12" s="24" t="s">
        <v>20</v>
      </c>
      <c r="J12" s="47">
        <f>'Rekapitulace stavby'!AN8</f>
        <v>44910</v>
      </c>
      <c r="L12" s="27"/>
    </row>
    <row r="13" spans="2:46" s="1" customFormat="1" ht="10.9" customHeight="1">
      <c r="B13" s="27"/>
      <c r="L13" s="27"/>
    </row>
    <row r="14" spans="2:46" s="1" customFormat="1" ht="12" customHeight="1">
      <c r="B14" s="27"/>
      <c r="D14" s="24" t="s">
        <v>21</v>
      </c>
      <c r="I14" s="24" t="s">
        <v>22</v>
      </c>
      <c r="J14" s="22" t="s">
        <v>1</v>
      </c>
      <c r="L14" s="27"/>
    </row>
    <row r="15" spans="2:46" s="1" customFormat="1" ht="18" customHeight="1">
      <c r="B15" s="27"/>
      <c r="E15" s="22" t="s">
        <v>23</v>
      </c>
      <c r="I15" s="24" t="s">
        <v>24</v>
      </c>
      <c r="J15" s="22" t="s">
        <v>1</v>
      </c>
      <c r="L15" s="27"/>
    </row>
    <row r="16" spans="2:46" s="1" customFormat="1" ht="6.95" customHeight="1">
      <c r="B16" s="27"/>
      <c r="L16" s="27"/>
    </row>
    <row r="17" spans="2:12" s="1" customFormat="1" ht="12" customHeight="1">
      <c r="B17" s="27"/>
      <c r="D17" s="24" t="s">
        <v>25</v>
      </c>
      <c r="I17" s="24" t="s">
        <v>22</v>
      </c>
      <c r="J17" s="22" t="s">
        <v>1</v>
      </c>
      <c r="L17" s="27"/>
    </row>
    <row r="18" spans="2:12" s="1" customFormat="1" ht="18" customHeight="1">
      <c r="B18" s="27"/>
      <c r="E18" s="22" t="s">
        <v>26</v>
      </c>
      <c r="I18" s="24" t="s">
        <v>24</v>
      </c>
      <c r="J18" s="22" t="s">
        <v>1</v>
      </c>
      <c r="L18" s="27"/>
    </row>
    <row r="19" spans="2:12" s="1" customFormat="1" ht="6.95" customHeight="1">
      <c r="B19" s="27"/>
      <c r="L19" s="27"/>
    </row>
    <row r="20" spans="2:12" s="1" customFormat="1" ht="12" customHeight="1">
      <c r="B20" s="27"/>
      <c r="D20" s="24" t="s">
        <v>27</v>
      </c>
      <c r="I20" s="24" t="s">
        <v>22</v>
      </c>
      <c r="J20" s="22" t="s">
        <v>1</v>
      </c>
      <c r="L20" s="27"/>
    </row>
    <row r="21" spans="2:12" s="1" customFormat="1" ht="18" customHeight="1">
      <c r="B21" s="27"/>
      <c r="E21" s="22" t="s">
        <v>28</v>
      </c>
      <c r="I21" s="24" t="s">
        <v>24</v>
      </c>
      <c r="J21" s="22" t="s">
        <v>1</v>
      </c>
      <c r="L21" s="27"/>
    </row>
    <row r="22" spans="2:12" s="1" customFormat="1" ht="6.95" customHeight="1">
      <c r="B22" s="27"/>
      <c r="L22" s="27"/>
    </row>
    <row r="23" spans="2:12" s="1" customFormat="1" ht="12" customHeight="1">
      <c r="B23" s="27"/>
      <c r="D23" s="24" t="s">
        <v>30</v>
      </c>
      <c r="I23" s="24" t="s">
        <v>22</v>
      </c>
      <c r="J23" s="22" t="s">
        <v>1</v>
      </c>
      <c r="L23" s="27"/>
    </row>
    <row r="24" spans="2:12" s="1" customFormat="1" ht="18" customHeight="1">
      <c r="B24" s="27"/>
      <c r="E24" s="22" t="s">
        <v>31</v>
      </c>
      <c r="I24" s="24" t="s">
        <v>24</v>
      </c>
      <c r="J24" s="22" t="s">
        <v>1</v>
      </c>
      <c r="L24" s="27"/>
    </row>
    <row r="25" spans="2:12" s="1" customFormat="1" ht="6.95" customHeight="1">
      <c r="B25" s="27"/>
      <c r="L25" s="27"/>
    </row>
    <row r="26" spans="2:12" s="1" customFormat="1" ht="12" customHeight="1">
      <c r="B26" s="27"/>
      <c r="D26" s="24" t="s">
        <v>32</v>
      </c>
      <c r="L26" s="27"/>
    </row>
    <row r="27" spans="2:12" s="7" customFormat="1" ht="16.5" customHeight="1">
      <c r="B27" s="84"/>
      <c r="E27" s="252" t="s">
        <v>1</v>
      </c>
      <c r="F27" s="252"/>
      <c r="G27" s="252"/>
      <c r="H27" s="252"/>
      <c r="L27" s="84"/>
    </row>
    <row r="28" spans="2:12" s="1" customFormat="1" ht="6.95" customHeight="1">
      <c r="B28" s="27"/>
      <c r="L28" s="27"/>
    </row>
    <row r="29" spans="2:12" s="1" customFormat="1" ht="6.95" customHeight="1">
      <c r="B29" s="27"/>
      <c r="D29" s="48"/>
      <c r="E29" s="48"/>
      <c r="F29" s="48"/>
      <c r="G29" s="48"/>
      <c r="H29" s="48"/>
      <c r="I29" s="48"/>
      <c r="J29" s="48"/>
      <c r="K29" s="48"/>
      <c r="L29" s="27"/>
    </row>
    <row r="30" spans="2:12" s="1" customFormat="1" ht="25.35" customHeight="1">
      <c r="B30" s="27"/>
      <c r="D30" s="85" t="s">
        <v>33</v>
      </c>
      <c r="J30" s="61">
        <f>ROUND(J145, 2)</f>
        <v>52637604.100000001</v>
      </c>
      <c r="L30" s="27"/>
    </row>
    <row r="31" spans="2:12" s="1" customFormat="1" ht="6.95" customHeight="1">
      <c r="B31" s="27"/>
      <c r="D31" s="48"/>
      <c r="E31" s="48"/>
      <c r="F31" s="48"/>
      <c r="G31" s="48"/>
      <c r="H31" s="48"/>
      <c r="I31" s="48"/>
      <c r="J31" s="48"/>
      <c r="K31" s="48"/>
      <c r="L31" s="27"/>
    </row>
    <row r="32" spans="2:12" s="1" customFormat="1" ht="14.45" customHeight="1">
      <c r="B32" s="27"/>
      <c r="F32" s="30" t="s">
        <v>35</v>
      </c>
      <c r="I32" s="30" t="s">
        <v>34</v>
      </c>
      <c r="J32" s="30" t="s">
        <v>36</v>
      </c>
      <c r="L32" s="27"/>
    </row>
    <row r="33" spans="2:12" s="1" customFormat="1" ht="14.45" customHeight="1">
      <c r="B33" s="27"/>
      <c r="D33" s="50" t="s">
        <v>37</v>
      </c>
      <c r="E33" s="24" t="s">
        <v>38</v>
      </c>
      <c r="F33" s="86">
        <f>ROUND((SUM(BE145:BE436)),  2)</f>
        <v>0</v>
      </c>
      <c r="I33" s="87">
        <v>0.21</v>
      </c>
      <c r="J33" s="86">
        <f>ROUND(((SUM(BE145:BE436))*I33),  2)</f>
        <v>0</v>
      </c>
      <c r="L33" s="27"/>
    </row>
    <row r="34" spans="2:12" s="1" customFormat="1" ht="14.45" customHeight="1">
      <c r="B34" s="27"/>
      <c r="E34" s="24" t="s">
        <v>39</v>
      </c>
      <c r="F34" s="86">
        <f>ROUND((SUM(BF145:BF436)),  2)</f>
        <v>52637604.100000001</v>
      </c>
      <c r="I34" s="87">
        <v>0.15</v>
      </c>
      <c r="J34" s="86">
        <f>ROUND(((SUM(BF145:BF436))*I34),  2)</f>
        <v>7895640.6200000001</v>
      </c>
      <c r="L34" s="27"/>
    </row>
    <row r="35" spans="2:12" s="1" customFormat="1" ht="14.45" hidden="1" customHeight="1">
      <c r="B35" s="27"/>
      <c r="E35" s="24" t="s">
        <v>40</v>
      </c>
      <c r="F35" s="86">
        <f>ROUND((SUM(BG145:BG436)),  2)</f>
        <v>0</v>
      </c>
      <c r="I35" s="87">
        <v>0.21</v>
      </c>
      <c r="J35" s="86">
        <f>0</f>
        <v>0</v>
      </c>
      <c r="L35" s="27"/>
    </row>
    <row r="36" spans="2:12" s="1" customFormat="1" ht="14.45" hidden="1" customHeight="1">
      <c r="B36" s="27"/>
      <c r="E36" s="24" t="s">
        <v>41</v>
      </c>
      <c r="F36" s="86">
        <f>ROUND((SUM(BH145:BH436)),  2)</f>
        <v>0</v>
      </c>
      <c r="I36" s="87">
        <v>0.15</v>
      </c>
      <c r="J36" s="86">
        <f>0</f>
        <v>0</v>
      </c>
      <c r="L36" s="27"/>
    </row>
    <row r="37" spans="2:12" s="1" customFormat="1" ht="14.45" hidden="1" customHeight="1">
      <c r="B37" s="27"/>
      <c r="E37" s="24" t="s">
        <v>42</v>
      </c>
      <c r="F37" s="86">
        <f>ROUND((SUM(BI145:BI436)),  2)</f>
        <v>0</v>
      </c>
      <c r="I37" s="87">
        <v>0</v>
      </c>
      <c r="J37" s="86">
        <f>0</f>
        <v>0</v>
      </c>
      <c r="L37" s="27"/>
    </row>
    <row r="38" spans="2:12" s="1" customFormat="1" ht="6.95" customHeight="1">
      <c r="B38" s="27"/>
      <c r="L38" s="27"/>
    </row>
    <row r="39" spans="2:12" s="1" customFormat="1" ht="25.35" customHeight="1">
      <c r="B39" s="27"/>
      <c r="C39" s="88"/>
      <c r="D39" s="89" t="s">
        <v>43</v>
      </c>
      <c r="E39" s="52"/>
      <c r="F39" s="52"/>
      <c r="G39" s="90" t="s">
        <v>44</v>
      </c>
      <c r="H39" s="91" t="s">
        <v>45</v>
      </c>
      <c r="I39" s="52"/>
      <c r="J39" s="92">
        <f>SUM(J30:J37)</f>
        <v>60533244.719999999</v>
      </c>
      <c r="K39" s="93"/>
      <c r="L39" s="27"/>
    </row>
    <row r="40" spans="2:12" s="1" customFormat="1" ht="14.45" customHeight="1">
      <c r="B40" s="27"/>
      <c r="L40" s="27"/>
    </row>
    <row r="41" spans="2:12" ht="14.45" customHeight="1">
      <c r="B41" s="18"/>
      <c r="L41" s="18"/>
    </row>
    <row r="42" spans="2:12" ht="14.45" customHeight="1">
      <c r="B42" s="18"/>
      <c r="L42" s="18"/>
    </row>
    <row r="43" spans="2:12" ht="14.45" customHeight="1">
      <c r="B43" s="18"/>
      <c r="L43" s="18"/>
    </row>
    <row r="44" spans="2:12" ht="14.45" customHeight="1">
      <c r="B44" s="18"/>
      <c r="L44" s="18"/>
    </row>
    <row r="45" spans="2:12" ht="14.45" customHeight="1">
      <c r="B45" s="18"/>
      <c r="L45" s="18"/>
    </row>
    <row r="46" spans="2:12" ht="14.45" customHeight="1">
      <c r="B46" s="18"/>
      <c r="L46" s="18"/>
    </row>
    <row r="47" spans="2:12" ht="14.45" customHeight="1">
      <c r="B47" s="18"/>
      <c r="L47" s="18"/>
    </row>
    <row r="48" spans="2:12" ht="14.45" customHeight="1">
      <c r="B48" s="18"/>
      <c r="L48" s="18"/>
    </row>
    <row r="49" spans="2:12" ht="14.45" customHeight="1">
      <c r="B49" s="18"/>
      <c r="L49" s="18"/>
    </row>
    <row r="50" spans="2:12" s="1" customFormat="1" ht="14.45" customHeight="1">
      <c r="B50" s="27"/>
      <c r="D50" s="36" t="s">
        <v>46</v>
      </c>
      <c r="E50" s="37"/>
      <c r="F50" s="37"/>
      <c r="G50" s="36" t="s">
        <v>47</v>
      </c>
      <c r="H50" s="37"/>
      <c r="I50" s="37"/>
      <c r="J50" s="37"/>
      <c r="K50" s="37"/>
      <c r="L50" s="27"/>
    </row>
    <row r="51" spans="2:12">
      <c r="B51" s="18"/>
      <c r="L51" s="18"/>
    </row>
    <row r="52" spans="2:12">
      <c r="B52" s="18"/>
      <c r="L52" s="18"/>
    </row>
    <row r="53" spans="2:12">
      <c r="B53" s="18"/>
      <c r="L53" s="18"/>
    </row>
    <row r="54" spans="2:12">
      <c r="B54" s="18"/>
      <c r="L54" s="18"/>
    </row>
    <row r="55" spans="2:12">
      <c r="B55" s="18"/>
      <c r="L55" s="18"/>
    </row>
    <row r="56" spans="2:12">
      <c r="B56" s="18"/>
      <c r="L56" s="18"/>
    </row>
    <row r="57" spans="2:12">
      <c r="B57" s="18"/>
      <c r="L57" s="18"/>
    </row>
    <row r="58" spans="2:12">
      <c r="B58" s="18"/>
      <c r="L58" s="18"/>
    </row>
    <row r="59" spans="2:12">
      <c r="B59" s="18"/>
      <c r="L59" s="18"/>
    </row>
    <row r="60" spans="2:12">
      <c r="B60" s="18"/>
      <c r="L60" s="18"/>
    </row>
    <row r="61" spans="2:12" s="1" customFormat="1" ht="12.75">
      <c r="B61" s="27"/>
      <c r="D61" s="38" t="s">
        <v>48</v>
      </c>
      <c r="E61" s="29"/>
      <c r="F61" s="94" t="s">
        <v>49</v>
      </c>
      <c r="G61" s="38" t="s">
        <v>48</v>
      </c>
      <c r="H61" s="29"/>
      <c r="I61" s="29"/>
      <c r="J61" s="95" t="s">
        <v>49</v>
      </c>
      <c r="K61" s="29"/>
      <c r="L61" s="27"/>
    </row>
    <row r="62" spans="2:12">
      <c r="B62" s="18"/>
      <c r="L62" s="18"/>
    </row>
    <row r="63" spans="2:12">
      <c r="B63" s="18"/>
      <c r="L63" s="18"/>
    </row>
    <row r="64" spans="2:12">
      <c r="B64" s="18"/>
      <c r="L64" s="18"/>
    </row>
    <row r="65" spans="2:12" s="1" customFormat="1" ht="12.75">
      <c r="B65" s="27"/>
      <c r="D65" s="36" t="s">
        <v>50</v>
      </c>
      <c r="E65" s="37"/>
      <c r="F65" s="37"/>
      <c r="G65" s="36" t="s">
        <v>51</v>
      </c>
      <c r="H65" s="37"/>
      <c r="I65" s="37"/>
      <c r="J65" s="37"/>
      <c r="K65" s="37"/>
      <c r="L65" s="27"/>
    </row>
    <row r="66" spans="2:12">
      <c r="B66" s="18"/>
      <c r="L66" s="18"/>
    </row>
    <row r="67" spans="2:12">
      <c r="B67" s="18"/>
      <c r="L67" s="18"/>
    </row>
    <row r="68" spans="2:12">
      <c r="B68" s="18"/>
      <c r="L68" s="18"/>
    </row>
    <row r="69" spans="2:12">
      <c r="B69" s="18"/>
      <c r="L69" s="18"/>
    </row>
    <row r="70" spans="2:12">
      <c r="B70" s="18"/>
      <c r="L70" s="18"/>
    </row>
    <row r="71" spans="2:12">
      <c r="B71" s="18"/>
      <c r="L71" s="18"/>
    </row>
    <row r="72" spans="2:12">
      <c r="B72" s="18"/>
      <c r="L72" s="18"/>
    </row>
    <row r="73" spans="2:12">
      <c r="B73" s="18"/>
      <c r="L73" s="18"/>
    </row>
    <row r="74" spans="2:12">
      <c r="B74" s="18"/>
      <c r="L74" s="18"/>
    </row>
    <row r="75" spans="2:12">
      <c r="B75" s="18"/>
      <c r="L75" s="18"/>
    </row>
    <row r="76" spans="2:12" s="1" customFormat="1" ht="12.75">
      <c r="B76" s="27"/>
      <c r="D76" s="38" t="s">
        <v>48</v>
      </c>
      <c r="E76" s="29"/>
      <c r="F76" s="94" t="s">
        <v>49</v>
      </c>
      <c r="G76" s="38" t="s">
        <v>48</v>
      </c>
      <c r="H76" s="29"/>
      <c r="I76" s="29"/>
      <c r="J76" s="95" t="s">
        <v>49</v>
      </c>
      <c r="K76" s="29"/>
      <c r="L76" s="27"/>
    </row>
    <row r="77" spans="2:12" s="1" customFormat="1" ht="14.45" customHeight="1"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27"/>
    </row>
    <row r="81" spans="2:47" s="1" customFormat="1" ht="6.95" customHeight="1"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27"/>
    </row>
    <row r="82" spans="2:47" s="1" customFormat="1" ht="24.95" customHeight="1">
      <c r="B82" s="27"/>
      <c r="C82" s="19" t="s">
        <v>92</v>
      </c>
      <c r="L82" s="27"/>
    </row>
    <row r="83" spans="2:47" s="1" customFormat="1" ht="6.95" customHeight="1">
      <c r="B83" s="27"/>
      <c r="L83" s="27"/>
    </row>
    <row r="84" spans="2:47" s="1" customFormat="1" ht="12" customHeight="1">
      <c r="B84" s="27"/>
      <c r="C84" s="24" t="s">
        <v>14</v>
      </c>
      <c r="L84" s="27"/>
    </row>
    <row r="85" spans="2:47" s="1" customFormat="1" ht="16.5" customHeight="1">
      <c r="B85" s="27"/>
      <c r="E85" s="283" t="str">
        <f>E7</f>
        <v>Komunitní sociální služby DOZP</v>
      </c>
      <c r="F85" s="284"/>
      <c r="G85" s="284"/>
      <c r="H85" s="284"/>
      <c r="L85" s="27"/>
    </row>
    <row r="86" spans="2:47" s="1" customFormat="1" ht="12" customHeight="1">
      <c r="B86" s="27"/>
      <c r="C86" s="24" t="s">
        <v>90</v>
      </c>
      <c r="L86" s="27"/>
    </row>
    <row r="87" spans="2:47" s="1" customFormat="1" ht="16.5" customHeight="1">
      <c r="B87" s="27"/>
      <c r="E87" s="270" t="str">
        <f>E9</f>
        <v>JC-B - Objekt B</v>
      </c>
      <c r="F87" s="285"/>
      <c r="G87" s="285"/>
      <c r="H87" s="285"/>
      <c r="L87" s="27"/>
    </row>
    <row r="88" spans="2:47" s="1" customFormat="1" ht="6.95" customHeight="1">
      <c r="B88" s="27"/>
      <c r="L88" s="27"/>
    </row>
    <row r="89" spans="2:47" s="1" customFormat="1" ht="12" customHeight="1">
      <c r="B89" s="27"/>
      <c r="C89" s="24" t="s">
        <v>18</v>
      </c>
      <c r="F89" s="22" t="str">
        <f>F12</f>
        <v>Jičín parc. č.1628</v>
      </c>
      <c r="I89" s="24" t="s">
        <v>20</v>
      </c>
      <c r="J89" s="47">
        <f>IF(J12="","",J12)</f>
        <v>44910</v>
      </c>
      <c r="L89" s="27"/>
    </row>
    <row r="90" spans="2:47" s="1" customFormat="1" ht="6.95" customHeight="1">
      <c r="B90" s="27"/>
      <c r="L90" s="27"/>
    </row>
    <row r="91" spans="2:47" s="1" customFormat="1" ht="15.2" customHeight="1">
      <c r="B91" s="27"/>
      <c r="C91" s="24" t="s">
        <v>21</v>
      </c>
      <c r="F91" s="22" t="str">
        <f>E15</f>
        <v>Královéhradecký kraj</v>
      </c>
      <c r="I91" s="24" t="s">
        <v>27</v>
      </c>
      <c r="J91" s="25" t="str">
        <f>E21</f>
        <v>Ing.arch. Kušnierik</v>
      </c>
      <c r="L91" s="27"/>
    </row>
    <row r="92" spans="2:47" s="1" customFormat="1" ht="15.2" customHeight="1">
      <c r="B92" s="27"/>
      <c r="C92" s="24" t="s">
        <v>25</v>
      </c>
      <c r="F92" s="22" t="str">
        <f>IF(E18="","",E18)</f>
        <v>bude určen ve výběrovém řízení</v>
      </c>
      <c r="I92" s="24" t="s">
        <v>30</v>
      </c>
      <c r="J92" s="25" t="str">
        <f>E24</f>
        <v>Ing.Pavel Michálek</v>
      </c>
      <c r="L92" s="27"/>
    </row>
    <row r="93" spans="2:47" s="1" customFormat="1" ht="10.35" customHeight="1">
      <c r="B93" s="27"/>
      <c r="L93" s="27"/>
    </row>
    <row r="94" spans="2:47" s="1" customFormat="1" ht="29.25" customHeight="1">
      <c r="B94" s="27"/>
      <c r="C94" s="96" t="s">
        <v>93</v>
      </c>
      <c r="D94" s="88"/>
      <c r="E94" s="88"/>
      <c r="F94" s="88"/>
      <c r="G94" s="88"/>
      <c r="H94" s="88"/>
      <c r="I94" s="88"/>
      <c r="J94" s="97" t="s">
        <v>94</v>
      </c>
      <c r="K94" s="88"/>
      <c r="L94" s="27"/>
    </row>
    <row r="95" spans="2:47" s="1" customFormat="1" ht="10.35" customHeight="1">
      <c r="B95" s="27"/>
      <c r="L95" s="27"/>
    </row>
    <row r="96" spans="2:47" s="1" customFormat="1" ht="22.9" customHeight="1">
      <c r="B96" s="27"/>
      <c r="C96" s="98" t="s">
        <v>95</v>
      </c>
      <c r="J96" s="61">
        <f>J145</f>
        <v>52637604.100000001</v>
      </c>
      <c r="L96" s="27"/>
      <c r="AU96" s="15" t="s">
        <v>96</v>
      </c>
    </row>
    <row r="97" spans="2:12" s="8" customFormat="1" ht="24.95" customHeight="1">
      <c r="B97" s="99"/>
      <c r="D97" s="100" t="s">
        <v>97</v>
      </c>
      <c r="E97" s="101"/>
      <c r="F97" s="101"/>
      <c r="G97" s="101"/>
      <c r="H97" s="101"/>
      <c r="I97" s="101"/>
      <c r="J97" s="102">
        <f>J146</f>
        <v>21366714.030000001</v>
      </c>
      <c r="L97" s="99"/>
    </row>
    <row r="98" spans="2:12" s="9" customFormat="1" ht="19.899999999999999" customHeight="1">
      <c r="B98" s="103"/>
      <c r="D98" s="104" t="s">
        <v>98</v>
      </c>
      <c r="E98" s="105"/>
      <c r="F98" s="105"/>
      <c r="G98" s="105"/>
      <c r="H98" s="105"/>
      <c r="I98" s="105"/>
      <c r="J98" s="106">
        <f>J147</f>
        <v>1900394.67</v>
      </c>
      <c r="L98" s="103"/>
    </row>
    <row r="99" spans="2:12" s="9" customFormat="1" ht="19.899999999999999" customHeight="1">
      <c r="B99" s="103"/>
      <c r="D99" s="104" t="s">
        <v>99</v>
      </c>
      <c r="E99" s="105"/>
      <c r="F99" s="105"/>
      <c r="G99" s="105"/>
      <c r="H99" s="105"/>
      <c r="I99" s="105"/>
      <c r="J99" s="106">
        <f>J158</f>
        <v>5783743.2100000009</v>
      </c>
      <c r="L99" s="103"/>
    </row>
    <row r="100" spans="2:12" s="9" customFormat="1" ht="19.899999999999999" customHeight="1">
      <c r="B100" s="103"/>
      <c r="D100" s="104" t="s">
        <v>100</v>
      </c>
      <c r="E100" s="105"/>
      <c r="F100" s="105"/>
      <c r="G100" s="105"/>
      <c r="H100" s="105"/>
      <c r="I100" s="105"/>
      <c r="J100" s="106">
        <f>J174</f>
        <v>3464878.3800000004</v>
      </c>
      <c r="L100" s="103"/>
    </row>
    <row r="101" spans="2:12" s="9" customFormat="1" ht="19.899999999999999" customHeight="1">
      <c r="B101" s="103"/>
      <c r="D101" s="104" t="s">
        <v>101</v>
      </c>
      <c r="E101" s="105"/>
      <c r="F101" s="105"/>
      <c r="G101" s="105"/>
      <c r="H101" s="105"/>
      <c r="I101" s="105"/>
      <c r="J101" s="106">
        <f>J179</f>
        <v>4151262.02</v>
      </c>
      <c r="L101" s="103"/>
    </row>
    <row r="102" spans="2:12" s="9" customFormat="1" ht="19.899999999999999" customHeight="1">
      <c r="B102" s="103"/>
      <c r="D102" s="104" t="s">
        <v>102</v>
      </c>
      <c r="E102" s="105"/>
      <c r="F102" s="105"/>
      <c r="G102" s="105"/>
      <c r="H102" s="105"/>
      <c r="I102" s="105"/>
      <c r="J102" s="106">
        <f>J195</f>
        <v>4234062.0100000007</v>
      </c>
      <c r="L102" s="103"/>
    </row>
    <row r="103" spans="2:12" s="9" customFormat="1" ht="19.899999999999999" customHeight="1">
      <c r="B103" s="103"/>
      <c r="D103" s="104" t="s">
        <v>103</v>
      </c>
      <c r="E103" s="105"/>
      <c r="F103" s="105"/>
      <c r="G103" s="105"/>
      <c r="H103" s="105"/>
      <c r="I103" s="105"/>
      <c r="J103" s="106">
        <f>J222</f>
        <v>806156.84000000008</v>
      </c>
      <c r="L103" s="103"/>
    </row>
    <row r="104" spans="2:12" s="9" customFormat="1" ht="19.899999999999999" customHeight="1">
      <c r="B104" s="103"/>
      <c r="D104" s="104" t="s">
        <v>104</v>
      </c>
      <c r="E104" s="105"/>
      <c r="F104" s="105"/>
      <c r="G104" s="105"/>
      <c r="H104" s="105"/>
      <c r="I104" s="105"/>
      <c r="J104" s="106">
        <f>J242</f>
        <v>1026216.9</v>
      </c>
      <c r="L104" s="103"/>
    </row>
    <row r="105" spans="2:12" s="8" customFormat="1" ht="24.95" customHeight="1">
      <c r="B105" s="99"/>
      <c r="D105" s="100" t="s">
        <v>105</v>
      </c>
      <c r="E105" s="101"/>
      <c r="F105" s="101"/>
      <c r="G105" s="101"/>
      <c r="H105" s="101"/>
      <c r="I105" s="101"/>
      <c r="J105" s="102">
        <f>J244</f>
        <v>31175226.07</v>
      </c>
      <c r="L105" s="99"/>
    </row>
    <row r="106" spans="2:12" s="9" customFormat="1" ht="19.899999999999999" customHeight="1">
      <c r="B106" s="103"/>
      <c r="D106" s="104" t="s">
        <v>106</v>
      </c>
      <c r="E106" s="105"/>
      <c r="F106" s="105"/>
      <c r="G106" s="105"/>
      <c r="H106" s="105"/>
      <c r="I106" s="105"/>
      <c r="J106" s="106">
        <f>J245</f>
        <v>707745.81000000017</v>
      </c>
      <c r="L106" s="103"/>
    </row>
    <row r="107" spans="2:12" s="9" customFormat="1" ht="19.899999999999999" customHeight="1">
      <c r="B107" s="103"/>
      <c r="D107" s="104" t="s">
        <v>107</v>
      </c>
      <c r="E107" s="105"/>
      <c r="F107" s="105"/>
      <c r="G107" s="105"/>
      <c r="H107" s="105"/>
      <c r="I107" s="105"/>
      <c r="J107" s="106">
        <f>J261</f>
        <v>159976.61000000002</v>
      </c>
      <c r="L107" s="103"/>
    </row>
    <row r="108" spans="2:12" s="9" customFormat="1" ht="19.899999999999999" customHeight="1">
      <c r="B108" s="103"/>
      <c r="D108" s="104" t="s">
        <v>108</v>
      </c>
      <c r="E108" s="105"/>
      <c r="F108" s="105"/>
      <c r="G108" s="105"/>
      <c r="H108" s="105"/>
      <c r="I108" s="105"/>
      <c r="J108" s="106">
        <f>J281</f>
        <v>1781115.5299999998</v>
      </c>
      <c r="L108" s="103"/>
    </row>
    <row r="109" spans="2:12" s="9" customFormat="1" ht="19.899999999999999" customHeight="1">
      <c r="B109" s="103"/>
      <c r="D109" s="104" t="s">
        <v>109</v>
      </c>
      <c r="E109" s="105"/>
      <c r="F109" s="105"/>
      <c r="G109" s="105"/>
      <c r="H109" s="105"/>
      <c r="I109" s="105"/>
      <c r="J109" s="106">
        <f>J314</f>
        <v>1777566.48</v>
      </c>
      <c r="L109" s="103"/>
    </row>
    <row r="110" spans="2:12" s="9" customFormat="1" ht="19.899999999999999" customHeight="1">
      <c r="B110" s="103"/>
      <c r="D110" s="104" t="s">
        <v>110</v>
      </c>
      <c r="E110" s="105"/>
      <c r="F110" s="105"/>
      <c r="G110" s="105"/>
      <c r="H110" s="105"/>
      <c r="I110" s="105"/>
      <c r="J110" s="106">
        <f>J322</f>
        <v>2614978.13</v>
      </c>
      <c r="L110" s="103"/>
    </row>
    <row r="111" spans="2:12" s="9" customFormat="1" ht="19.899999999999999" customHeight="1">
      <c r="B111" s="103"/>
      <c r="D111" s="104" t="s">
        <v>111</v>
      </c>
      <c r="E111" s="105"/>
      <c r="F111" s="105"/>
      <c r="G111" s="105"/>
      <c r="H111" s="105"/>
      <c r="I111" s="105"/>
      <c r="J111" s="106">
        <f>J325</f>
        <v>9460739.3000000007</v>
      </c>
      <c r="L111" s="103"/>
    </row>
    <row r="112" spans="2:12" s="9" customFormat="1" ht="19.899999999999999" customHeight="1">
      <c r="B112" s="103"/>
      <c r="D112" s="104" t="s">
        <v>112</v>
      </c>
      <c r="E112" s="105"/>
      <c r="F112" s="105"/>
      <c r="G112" s="105"/>
      <c r="H112" s="105"/>
      <c r="I112" s="105"/>
      <c r="J112" s="106">
        <f>J327</f>
        <v>1974787.63</v>
      </c>
      <c r="L112" s="103"/>
    </row>
    <row r="113" spans="2:12" s="9" customFormat="1" ht="19.899999999999999" customHeight="1">
      <c r="B113" s="103"/>
      <c r="D113" s="104" t="s">
        <v>113</v>
      </c>
      <c r="E113" s="105"/>
      <c r="F113" s="105"/>
      <c r="G113" s="105"/>
      <c r="H113" s="105"/>
      <c r="I113" s="105"/>
      <c r="J113" s="106">
        <f>J330</f>
        <v>1419257.4200000002</v>
      </c>
      <c r="L113" s="103"/>
    </row>
    <row r="114" spans="2:12" s="9" customFormat="1" ht="19.899999999999999" customHeight="1">
      <c r="B114" s="103"/>
      <c r="D114" s="104" t="s">
        <v>114</v>
      </c>
      <c r="E114" s="105"/>
      <c r="F114" s="105"/>
      <c r="G114" s="105"/>
      <c r="H114" s="105"/>
      <c r="I114" s="105"/>
      <c r="J114" s="106">
        <f>J347</f>
        <v>1064422.9800000002</v>
      </c>
      <c r="L114" s="103"/>
    </row>
    <row r="115" spans="2:12" s="9" customFormat="1" ht="19.899999999999999" customHeight="1">
      <c r="B115" s="103"/>
      <c r="D115" s="104" t="s">
        <v>115</v>
      </c>
      <c r="E115" s="105"/>
      <c r="F115" s="105"/>
      <c r="G115" s="105"/>
      <c r="H115" s="105"/>
      <c r="I115" s="105"/>
      <c r="J115" s="106">
        <f>J353</f>
        <v>1964572.96</v>
      </c>
      <c r="L115" s="103"/>
    </row>
    <row r="116" spans="2:12" s="9" customFormat="1" ht="19.899999999999999" customHeight="1">
      <c r="B116" s="103"/>
      <c r="D116" s="104" t="s">
        <v>116</v>
      </c>
      <c r="E116" s="105"/>
      <c r="F116" s="105"/>
      <c r="G116" s="105"/>
      <c r="H116" s="105"/>
      <c r="I116" s="105"/>
      <c r="J116" s="106">
        <f>J367</f>
        <v>1726292.76</v>
      </c>
      <c r="L116" s="103"/>
    </row>
    <row r="117" spans="2:12" s="9" customFormat="1" ht="19.899999999999999" customHeight="1">
      <c r="B117" s="103"/>
      <c r="D117" s="104" t="s">
        <v>117</v>
      </c>
      <c r="E117" s="105"/>
      <c r="F117" s="105"/>
      <c r="G117" s="105"/>
      <c r="H117" s="105"/>
      <c r="I117" s="105"/>
      <c r="J117" s="106">
        <f>J380</f>
        <v>4216300.45</v>
      </c>
      <c r="L117" s="103"/>
    </row>
    <row r="118" spans="2:12" s="9" customFormat="1" ht="19.899999999999999" customHeight="1">
      <c r="B118" s="103"/>
      <c r="D118" s="104" t="s">
        <v>118</v>
      </c>
      <c r="E118" s="105"/>
      <c r="F118" s="105"/>
      <c r="G118" s="105"/>
      <c r="H118" s="105"/>
      <c r="I118" s="105"/>
      <c r="J118" s="106">
        <f>J398</f>
        <v>27099.66</v>
      </c>
      <c r="L118" s="103"/>
    </row>
    <row r="119" spans="2:12" s="9" customFormat="1" ht="19.899999999999999" customHeight="1">
      <c r="B119" s="103"/>
      <c r="D119" s="104" t="s">
        <v>119</v>
      </c>
      <c r="E119" s="105"/>
      <c r="F119" s="105"/>
      <c r="G119" s="105"/>
      <c r="H119" s="105"/>
      <c r="I119" s="105"/>
      <c r="J119" s="106">
        <f>J405</f>
        <v>1411206.75</v>
      </c>
      <c r="L119" s="103"/>
    </row>
    <row r="120" spans="2:12" s="9" customFormat="1" ht="19.899999999999999" customHeight="1">
      <c r="B120" s="103"/>
      <c r="D120" s="104" t="s">
        <v>120</v>
      </c>
      <c r="E120" s="105"/>
      <c r="F120" s="105"/>
      <c r="G120" s="105"/>
      <c r="H120" s="105"/>
      <c r="I120" s="105"/>
      <c r="J120" s="106">
        <f>J416</f>
        <v>397002.27</v>
      </c>
      <c r="L120" s="103"/>
    </row>
    <row r="121" spans="2:12" s="9" customFormat="1" ht="19.899999999999999" customHeight="1">
      <c r="B121" s="103"/>
      <c r="D121" s="104" t="s">
        <v>121</v>
      </c>
      <c r="E121" s="105"/>
      <c r="F121" s="105"/>
      <c r="G121" s="105"/>
      <c r="H121" s="105"/>
      <c r="I121" s="105"/>
      <c r="J121" s="106">
        <f>J423</f>
        <v>472161.32999999996</v>
      </c>
      <c r="L121" s="103"/>
    </row>
    <row r="122" spans="2:12" s="8" customFormat="1" ht="24.95" customHeight="1">
      <c r="B122" s="99"/>
      <c r="D122" s="100" t="s">
        <v>122</v>
      </c>
      <c r="E122" s="101"/>
      <c r="F122" s="101"/>
      <c r="G122" s="101"/>
      <c r="H122" s="101"/>
      <c r="I122" s="101"/>
      <c r="J122" s="102">
        <f>J426</f>
        <v>95664</v>
      </c>
      <c r="L122" s="99"/>
    </row>
    <row r="123" spans="2:12" s="9" customFormat="1" ht="19.899999999999999" customHeight="1">
      <c r="B123" s="103"/>
      <c r="D123" s="104" t="s">
        <v>123</v>
      </c>
      <c r="E123" s="105"/>
      <c r="F123" s="105"/>
      <c r="G123" s="105"/>
      <c r="H123" s="105"/>
      <c r="I123" s="105"/>
      <c r="J123" s="106">
        <f>J427</f>
        <v>18720</v>
      </c>
      <c r="L123" s="103"/>
    </row>
    <row r="124" spans="2:12" s="9" customFormat="1" ht="19.899999999999999" customHeight="1">
      <c r="B124" s="103"/>
      <c r="D124" s="104" t="s">
        <v>124</v>
      </c>
      <c r="E124" s="105"/>
      <c r="F124" s="105"/>
      <c r="G124" s="105"/>
      <c r="H124" s="105"/>
      <c r="I124" s="105"/>
      <c r="J124" s="106">
        <f>J430</f>
        <v>70608</v>
      </c>
      <c r="L124" s="103"/>
    </row>
    <row r="125" spans="2:12" s="9" customFormat="1" ht="19.899999999999999" customHeight="1">
      <c r="B125" s="103"/>
      <c r="D125" s="104" t="s">
        <v>125</v>
      </c>
      <c r="E125" s="105"/>
      <c r="F125" s="105"/>
      <c r="G125" s="105"/>
      <c r="H125" s="105"/>
      <c r="I125" s="105"/>
      <c r="J125" s="106">
        <f>J435</f>
        <v>6336</v>
      </c>
      <c r="L125" s="103"/>
    </row>
    <row r="126" spans="2:12" s="1" customFormat="1" ht="21.75" customHeight="1">
      <c r="B126" s="27"/>
      <c r="L126" s="27"/>
    </row>
    <row r="127" spans="2:12" s="1" customFormat="1" ht="6.95" customHeight="1">
      <c r="B127" s="39"/>
      <c r="C127" s="40"/>
      <c r="D127" s="40"/>
      <c r="E127" s="40"/>
      <c r="F127" s="40"/>
      <c r="G127" s="40"/>
      <c r="H127" s="40"/>
      <c r="I127" s="40"/>
      <c r="J127" s="40"/>
      <c r="K127" s="40"/>
      <c r="L127" s="27"/>
    </row>
    <row r="131" spans="2:20" s="1" customFormat="1" ht="6.95" customHeight="1">
      <c r="B131" s="41"/>
      <c r="C131" s="42"/>
      <c r="D131" s="42"/>
      <c r="E131" s="42"/>
      <c r="F131" s="42"/>
      <c r="G131" s="42"/>
      <c r="H131" s="42"/>
      <c r="I131" s="42"/>
      <c r="J131" s="42"/>
      <c r="K131" s="42"/>
      <c r="L131" s="27"/>
    </row>
    <row r="132" spans="2:20" s="1" customFormat="1" ht="24.95" customHeight="1">
      <c r="B132" s="27"/>
      <c r="C132" s="19" t="s">
        <v>126</v>
      </c>
      <c r="L132" s="27"/>
    </row>
    <row r="133" spans="2:20" s="1" customFormat="1" ht="6.95" customHeight="1">
      <c r="B133" s="27"/>
      <c r="L133" s="27"/>
    </row>
    <row r="134" spans="2:20" s="1" customFormat="1" ht="12" customHeight="1">
      <c r="B134" s="27"/>
      <c r="C134" s="24" t="s">
        <v>14</v>
      </c>
      <c r="L134" s="27"/>
    </row>
    <row r="135" spans="2:20" s="1" customFormat="1" ht="16.5" customHeight="1">
      <c r="B135" s="27"/>
      <c r="E135" s="283" t="str">
        <f>E7</f>
        <v>Komunitní sociální služby DOZP</v>
      </c>
      <c r="F135" s="284"/>
      <c r="G135" s="284"/>
      <c r="H135" s="284"/>
      <c r="L135" s="27"/>
    </row>
    <row r="136" spans="2:20" s="1" customFormat="1" ht="12" customHeight="1">
      <c r="B136" s="27"/>
      <c r="C136" s="24" t="s">
        <v>90</v>
      </c>
      <c r="L136" s="27"/>
    </row>
    <row r="137" spans="2:20" s="1" customFormat="1" ht="16.5" customHeight="1">
      <c r="B137" s="27"/>
      <c r="E137" s="270" t="str">
        <f>E9</f>
        <v>JC-B - Objekt B</v>
      </c>
      <c r="F137" s="285"/>
      <c r="G137" s="285"/>
      <c r="H137" s="285"/>
      <c r="L137" s="27"/>
    </row>
    <row r="138" spans="2:20" s="1" customFormat="1" ht="6.95" customHeight="1">
      <c r="B138" s="27"/>
      <c r="L138" s="27"/>
    </row>
    <row r="139" spans="2:20" s="1" customFormat="1" ht="12" customHeight="1">
      <c r="B139" s="27"/>
      <c r="C139" s="24" t="s">
        <v>18</v>
      </c>
      <c r="F139" s="22" t="str">
        <f>F12</f>
        <v>Jičín parc. č.1628</v>
      </c>
      <c r="I139" s="24" t="s">
        <v>20</v>
      </c>
      <c r="J139" s="47">
        <f>IF(J12="","",J12)</f>
        <v>44910</v>
      </c>
      <c r="L139" s="27"/>
    </row>
    <row r="140" spans="2:20" s="1" customFormat="1" ht="6.95" customHeight="1">
      <c r="B140" s="27"/>
      <c r="L140" s="27"/>
    </row>
    <row r="141" spans="2:20" s="1" customFormat="1" ht="15.2" customHeight="1">
      <c r="B141" s="27"/>
      <c r="C141" s="24" t="s">
        <v>21</v>
      </c>
      <c r="F141" s="22" t="str">
        <f>E15</f>
        <v>Královéhradecký kraj</v>
      </c>
      <c r="I141" s="24" t="s">
        <v>27</v>
      </c>
      <c r="J141" s="25" t="str">
        <f>E21</f>
        <v>Ing.arch. Kušnierik</v>
      </c>
      <c r="L141" s="27"/>
    </row>
    <row r="142" spans="2:20" s="1" customFormat="1" ht="15.2" customHeight="1">
      <c r="B142" s="27"/>
      <c r="C142" s="24" t="s">
        <v>25</v>
      </c>
      <c r="F142" s="22" t="str">
        <f>IF(E18="","",E18)</f>
        <v>bude určen ve výběrovém řízení</v>
      </c>
      <c r="I142" s="24" t="s">
        <v>30</v>
      </c>
      <c r="J142" s="25" t="str">
        <f>E24</f>
        <v>Ing.Pavel Michálek</v>
      </c>
      <c r="L142" s="27"/>
    </row>
    <row r="143" spans="2:20" s="1" customFormat="1" ht="10.35" customHeight="1">
      <c r="B143" s="27"/>
      <c r="L143" s="27"/>
    </row>
    <row r="144" spans="2:20" s="10" customFormat="1" ht="29.25" customHeight="1">
      <c r="B144" s="107"/>
      <c r="C144" s="108" t="s">
        <v>127</v>
      </c>
      <c r="D144" s="109" t="s">
        <v>58</v>
      </c>
      <c r="E144" s="109" t="s">
        <v>54</v>
      </c>
      <c r="F144" s="109" t="s">
        <v>55</v>
      </c>
      <c r="G144" s="109" t="s">
        <v>128</v>
      </c>
      <c r="H144" s="109" t="s">
        <v>129</v>
      </c>
      <c r="I144" s="109" t="s">
        <v>130</v>
      </c>
      <c r="J144" s="109" t="s">
        <v>94</v>
      </c>
      <c r="K144" s="110" t="s">
        <v>131</v>
      </c>
      <c r="L144" s="107"/>
      <c r="M144" s="54" t="s">
        <v>1</v>
      </c>
      <c r="N144" s="55" t="s">
        <v>37</v>
      </c>
      <c r="O144" s="55" t="s">
        <v>132</v>
      </c>
      <c r="P144" s="55" t="s">
        <v>133</v>
      </c>
      <c r="Q144" s="55" t="s">
        <v>134</v>
      </c>
      <c r="R144" s="55" t="s">
        <v>135</v>
      </c>
      <c r="S144" s="55" t="s">
        <v>136</v>
      </c>
      <c r="T144" s="56" t="s">
        <v>137</v>
      </c>
    </row>
    <row r="145" spans="2:65" s="1" customFormat="1" ht="22.9" customHeight="1">
      <c r="B145" s="27"/>
      <c r="C145" s="59" t="s">
        <v>138</v>
      </c>
      <c r="J145" s="111">
        <f>BK145</f>
        <v>52637604.100000001</v>
      </c>
      <c r="L145" s="27"/>
      <c r="M145" s="57"/>
      <c r="N145" s="48"/>
      <c r="O145" s="48"/>
      <c r="P145" s="112">
        <f>P146+P244+P426</f>
        <v>18281.083597000001</v>
      </c>
      <c r="Q145" s="48"/>
      <c r="R145" s="112">
        <f>R146+R244+R426</f>
        <v>3143.8924915199996</v>
      </c>
      <c r="S145" s="48"/>
      <c r="T145" s="113">
        <f>T146+T244+T426</f>
        <v>0</v>
      </c>
      <c r="AT145" s="15" t="s">
        <v>72</v>
      </c>
      <c r="AU145" s="15" t="s">
        <v>96</v>
      </c>
      <c r="BK145" s="114">
        <f>BK146+BK244+BK426</f>
        <v>52637604.100000001</v>
      </c>
    </row>
    <row r="146" spans="2:65" s="11" customFormat="1" ht="25.9" customHeight="1">
      <c r="B146" s="115"/>
      <c r="D146" s="116" t="s">
        <v>72</v>
      </c>
      <c r="E146" s="117" t="s">
        <v>139</v>
      </c>
      <c r="F146" s="117" t="s">
        <v>140</v>
      </c>
      <c r="J146" s="118">
        <f>BK146</f>
        <v>21366714.030000001</v>
      </c>
      <c r="L146" s="115"/>
      <c r="M146" s="119"/>
      <c r="P146" s="120">
        <f>P147+P158+P174+P179+P195+P222+P242</f>
        <v>12366.596133000001</v>
      </c>
      <c r="R146" s="120">
        <f>R147+R158+R174+R179+R195+R222+R242</f>
        <v>3013.3726145099995</v>
      </c>
      <c r="T146" s="121">
        <f>T147+T158+T174+T179+T195+T222+T242</f>
        <v>0</v>
      </c>
      <c r="AR146" s="116" t="s">
        <v>81</v>
      </c>
      <c r="AT146" s="122" t="s">
        <v>72</v>
      </c>
      <c r="AU146" s="122" t="s">
        <v>73</v>
      </c>
      <c r="AY146" s="116" t="s">
        <v>141</v>
      </c>
      <c r="BK146" s="123">
        <f>BK147+BK158+BK174+BK179+BK195+BK222+BK242</f>
        <v>21366714.030000001</v>
      </c>
    </row>
    <row r="147" spans="2:65" s="11" customFormat="1" ht="22.9" customHeight="1">
      <c r="B147" s="115"/>
      <c r="D147" s="116" t="s">
        <v>72</v>
      </c>
      <c r="E147" s="124" t="s">
        <v>81</v>
      </c>
      <c r="F147" s="124" t="s">
        <v>142</v>
      </c>
      <c r="J147" s="125">
        <f>BK147</f>
        <v>1900394.67</v>
      </c>
      <c r="L147" s="115"/>
      <c r="M147" s="119"/>
      <c r="P147" s="120">
        <f>SUM(P148:P157)</f>
        <v>554.37735599999996</v>
      </c>
      <c r="R147" s="120">
        <f>SUM(R148:R157)</f>
        <v>0</v>
      </c>
      <c r="T147" s="121">
        <f>SUM(T148:T157)</f>
        <v>0</v>
      </c>
      <c r="AR147" s="116" t="s">
        <v>81</v>
      </c>
      <c r="AT147" s="122" t="s">
        <v>72</v>
      </c>
      <c r="AU147" s="122" t="s">
        <v>81</v>
      </c>
      <c r="AY147" s="116" t="s">
        <v>141</v>
      </c>
      <c r="BK147" s="123">
        <f>SUM(BK148:BK157)</f>
        <v>1900394.67</v>
      </c>
    </row>
    <row r="148" spans="2:65" s="1" customFormat="1" ht="24.2" customHeight="1">
      <c r="B148" s="126"/>
      <c r="C148" s="127" t="s">
        <v>143</v>
      </c>
      <c r="D148" s="127" t="s">
        <v>144</v>
      </c>
      <c r="E148" s="128" t="s">
        <v>145</v>
      </c>
      <c r="F148" s="129" t="s">
        <v>146</v>
      </c>
      <c r="G148" s="130" t="s">
        <v>147</v>
      </c>
      <c r="H148" s="131">
        <v>12</v>
      </c>
      <c r="I148" s="132">
        <v>332</v>
      </c>
      <c r="J148" s="132">
        <f t="shared" ref="J148:J157" si="0">ROUND(I148*H148,2)</f>
        <v>3984</v>
      </c>
      <c r="K148" s="129" t="s">
        <v>148</v>
      </c>
      <c r="L148" s="27"/>
      <c r="M148" s="133" t="s">
        <v>1</v>
      </c>
      <c r="N148" s="134" t="s">
        <v>39</v>
      </c>
      <c r="O148" s="135">
        <v>0.88</v>
      </c>
      <c r="P148" s="135">
        <f t="shared" ref="P148:P157" si="1">O148*H148</f>
        <v>10.56</v>
      </c>
      <c r="Q148" s="135">
        <v>0</v>
      </c>
      <c r="R148" s="135">
        <f t="shared" ref="R148:R157" si="2">Q148*H148</f>
        <v>0</v>
      </c>
      <c r="S148" s="135">
        <v>0</v>
      </c>
      <c r="T148" s="136">
        <f t="shared" ref="T148:T157" si="3">S148*H148</f>
        <v>0</v>
      </c>
      <c r="AR148" s="137" t="s">
        <v>149</v>
      </c>
      <c r="AT148" s="137" t="s">
        <v>144</v>
      </c>
      <c r="AU148" s="137" t="s">
        <v>143</v>
      </c>
      <c r="AY148" s="15" t="s">
        <v>141</v>
      </c>
      <c r="BE148" s="138">
        <f t="shared" ref="BE148:BE157" si="4">IF(N148="základní",J148,0)</f>
        <v>0</v>
      </c>
      <c r="BF148" s="138">
        <f t="shared" ref="BF148:BF157" si="5">IF(N148="snížená",J148,0)</f>
        <v>3984</v>
      </c>
      <c r="BG148" s="138">
        <f t="shared" ref="BG148:BG157" si="6">IF(N148="zákl. přenesená",J148,0)</f>
        <v>0</v>
      </c>
      <c r="BH148" s="138">
        <f t="shared" ref="BH148:BH157" si="7">IF(N148="sníž. přenesená",J148,0)</f>
        <v>0</v>
      </c>
      <c r="BI148" s="138">
        <f t="shared" ref="BI148:BI157" si="8">IF(N148="nulová",J148,0)</f>
        <v>0</v>
      </c>
      <c r="BJ148" s="15" t="s">
        <v>143</v>
      </c>
      <c r="BK148" s="138">
        <f t="shared" ref="BK148:BK157" si="9">ROUND(I148*H148,2)</f>
        <v>3984</v>
      </c>
      <c r="BL148" s="15" t="s">
        <v>149</v>
      </c>
      <c r="BM148" s="137" t="s">
        <v>150</v>
      </c>
    </row>
    <row r="149" spans="2:65" s="1" customFormat="1" ht="16.5" customHeight="1">
      <c r="B149" s="126"/>
      <c r="C149" s="127" t="s">
        <v>151</v>
      </c>
      <c r="D149" s="127" t="s">
        <v>144</v>
      </c>
      <c r="E149" s="128" t="s">
        <v>152</v>
      </c>
      <c r="F149" s="129" t="s">
        <v>153</v>
      </c>
      <c r="G149" s="130" t="s">
        <v>147</v>
      </c>
      <c r="H149" s="131">
        <v>12</v>
      </c>
      <c r="I149" s="132">
        <v>1130</v>
      </c>
      <c r="J149" s="132">
        <f t="shared" si="0"/>
        <v>13560</v>
      </c>
      <c r="K149" s="129" t="s">
        <v>148</v>
      </c>
      <c r="L149" s="27"/>
      <c r="M149" s="133" t="s">
        <v>1</v>
      </c>
      <c r="N149" s="134" t="s">
        <v>39</v>
      </c>
      <c r="O149" s="135">
        <v>1.175</v>
      </c>
      <c r="P149" s="135">
        <f t="shared" si="1"/>
        <v>14.100000000000001</v>
      </c>
      <c r="Q149" s="135">
        <v>0</v>
      </c>
      <c r="R149" s="135">
        <f t="shared" si="2"/>
        <v>0</v>
      </c>
      <c r="S149" s="135">
        <v>0</v>
      </c>
      <c r="T149" s="136">
        <f t="shared" si="3"/>
        <v>0</v>
      </c>
      <c r="AR149" s="137" t="s">
        <v>149</v>
      </c>
      <c r="AT149" s="137" t="s">
        <v>144</v>
      </c>
      <c r="AU149" s="137" t="s">
        <v>143</v>
      </c>
      <c r="AY149" s="15" t="s">
        <v>141</v>
      </c>
      <c r="BE149" s="138">
        <f t="shared" si="4"/>
        <v>0</v>
      </c>
      <c r="BF149" s="138">
        <f t="shared" si="5"/>
        <v>13560</v>
      </c>
      <c r="BG149" s="138">
        <f t="shared" si="6"/>
        <v>0</v>
      </c>
      <c r="BH149" s="138">
        <f t="shared" si="7"/>
        <v>0</v>
      </c>
      <c r="BI149" s="138">
        <f t="shared" si="8"/>
        <v>0</v>
      </c>
      <c r="BJ149" s="15" t="s">
        <v>143</v>
      </c>
      <c r="BK149" s="138">
        <f t="shared" si="9"/>
        <v>13560</v>
      </c>
      <c r="BL149" s="15" t="s">
        <v>149</v>
      </c>
      <c r="BM149" s="137" t="s">
        <v>154</v>
      </c>
    </row>
    <row r="150" spans="2:65" s="1" customFormat="1" ht="24.2" customHeight="1">
      <c r="B150" s="126"/>
      <c r="C150" s="127" t="s">
        <v>149</v>
      </c>
      <c r="D150" s="127" t="s">
        <v>144</v>
      </c>
      <c r="E150" s="128" t="s">
        <v>155</v>
      </c>
      <c r="F150" s="129" t="s">
        <v>156</v>
      </c>
      <c r="G150" s="130" t="s">
        <v>157</v>
      </c>
      <c r="H150" s="131">
        <v>1063.5840000000001</v>
      </c>
      <c r="I150" s="132">
        <v>16.3</v>
      </c>
      <c r="J150" s="132">
        <f t="shared" si="0"/>
        <v>17336.419999999998</v>
      </c>
      <c r="K150" s="129" t="s">
        <v>148</v>
      </c>
      <c r="L150" s="27"/>
      <c r="M150" s="133" t="s">
        <v>1</v>
      </c>
      <c r="N150" s="134" t="s">
        <v>39</v>
      </c>
      <c r="O150" s="135">
        <v>1.7000000000000001E-2</v>
      </c>
      <c r="P150" s="135">
        <f t="shared" si="1"/>
        <v>18.080928000000004</v>
      </c>
      <c r="Q150" s="135">
        <v>0</v>
      </c>
      <c r="R150" s="135">
        <f t="shared" si="2"/>
        <v>0</v>
      </c>
      <c r="S150" s="135">
        <v>0</v>
      </c>
      <c r="T150" s="136">
        <f t="shared" si="3"/>
        <v>0</v>
      </c>
      <c r="AR150" s="137" t="s">
        <v>149</v>
      </c>
      <c r="AT150" s="137" t="s">
        <v>144</v>
      </c>
      <c r="AU150" s="137" t="s">
        <v>143</v>
      </c>
      <c r="AY150" s="15" t="s">
        <v>141</v>
      </c>
      <c r="BE150" s="138">
        <f t="shared" si="4"/>
        <v>0</v>
      </c>
      <c r="BF150" s="138">
        <f t="shared" si="5"/>
        <v>17336.419999999998</v>
      </c>
      <c r="BG150" s="138">
        <f t="shared" si="6"/>
        <v>0</v>
      </c>
      <c r="BH150" s="138">
        <f t="shared" si="7"/>
        <v>0</v>
      </c>
      <c r="BI150" s="138">
        <f t="shared" si="8"/>
        <v>0</v>
      </c>
      <c r="BJ150" s="15" t="s">
        <v>143</v>
      </c>
      <c r="BK150" s="138">
        <f t="shared" si="9"/>
        <v>17336.419999999998</v>
      </c>
      <c r="BL150" s="15" t="s">
        <v>149</v>
      </c>
      <c r="BM150" s="137" t="s">
        <v>158</v>
      </c>
    </row>
    <row r="151" spans="2:65" s="1" customFormat="1" ht="33" customHeight="1">
      <c r="B151" s="126"/>
      <c r="C151" s="127" t="s">
        <v>159</v>
      </c>
      <c r="D151" s="127" t="s">
        <v>144</v>
      </c>
      <c r="E151" s="128" t="s">
        <v>160</v>
      </c>
      <c r="F151" s="129" t="s">
        <v>161</v>
      </c>
      <c r="G151" s="130" t="s">
        <v>162</v>
      </c>
      <c r="H151" s="131">
        <v>560.36699999999996</v>
      </c>
      <c r="I151" s="132">
        <v>459</v>
      </c>
      <c r="J151" s="132">
        <f t="shared" si="0"/>
        <v>257208.45</v>
      </c>
      <c r="K151" s="129" t="s">
        <v>148</v>
      </c>
      <c r="L151" s="27"/>
      <c r="M151" s="133" t="s">
        <v>1</v>
      </c>
      <c r="N151" s="134" t="s">
        <v>39</v>
      </c>
      <c r="O151" s="135">
        <v>0.67200000000000004</v>
      </c>
      <c r="P151" s="135">
        <f t="shared" si="1"/>
        <v>376.56662399999999</v>
      </c>
      <c r="Q151" s="135">
        <v>0</v>
      </c>
      <c r="R151" s="135">
        <f t="shared" si="2"/>
        <v>0</v>
      </c>
      <c r="S151" s="135">
        <v>0</v>
      </c>
      <c r="T151" s="136">
        <f t="shared" si="3"/>
        <v>0</v>
      </c>
      <c r="AR151" s="137" t="s">
        <v>149</v>
      </c>
      <c r="AT151" s="137" t="s">
        <v>144</v>
      </c>
      <c r="AU151" s="137" t="s">
        <v>143</v>
      </c>
      <c r="AY151" s="15" t="s">
        <v>141</v>
      </c>
      <c r="BE151" s="138">
        <f t="shared" si="4"/>
        <v>0</v>
      </c>
      <c r="BF151" s="138">
        <f t="shared" si="5"/>
        <v>257208.45</v>
      </c>
      <c r="BG151" s="138">
        <f t="shared" si="6"/>
        <v>0</v>
      </c>
      <c r="BH151" s="138">
        <f t="shared" si="7"/>
        <v>0</v>
      </c>
      <c r="BI151" s="138">
        <f t="shared" si="8"/>
        <v>0</v>
      </c>
      <c r="BJ151" s="15" t="s">
        <v>143</v>
      </c>
      <c r="BK151" s="138">
        <f t="shared" si="9"/>
        <v>257208.45</v>
      </c>
      <c r="BL151" s="15" t="s">
        <v>149</v>
      </c>
      <c r="BM151" s="137" t="s">
        <v>163</v>
      </c>
    </row>
    <row r="152" spans="2:65" s="1" customFormat="1" ht="33" customHeight="1">
      <c r="B152" s="126"/>
      <c r="C152" s="127" t="s">
        <v>164</v>
      </c>
      <c r="D152" s="127" t="s">
        <v>144</v>
      </c>
      <c r="E152" s="128" t="s">
        <v>165</v>
      </c>
      <c r="F152" s="129" t="s">
        <v>166</v>
      </c>
      <c r="G152" s="130" t="s">
        <v>162</v>
      </c>
      <c r="H152" s="131">
        <v>560.36699999999996</v>
      </c>
      <c r="I152" s="132">
        <v>79.2</v>
      </c>
      <c r="J152" s="132">
        <f t="shared" si="0"/>
        <v>44381.07</v>
      </c>
      <c r="K152" s="129" t="s">
        <v>148</v>
      </c>
      <c r="L152" s="27"/>
      <c r="M152" s="133" t="s">
        <v>1</v>
      </c>
      <c r="N152" s="134" t="s">
        <v>39</v>
      </c>
      <c r="O152" s="135">
        <v>4.3999999999999997E-2</v>
      </c>
      <c r="P152" s="135">
        <f t="shared" si="1"/>
        <v>24.656147999999998</v>
      </c>
      <c r="Q152" s="135">
        <v>0</v>
      </c>
      <c r="R152" s="135">
        <f t="shared" si="2"/>
        <v>0</v>
      </c>
      <c r="S152" s="135">
        <v>0</v>
      </c>
      <c r="T152" s="136">
        <f t="shared" si="3"/>
        <v>0</v>
      </c>
      <c r="AR152" s="137" t="s">
        <v>149</v>
      </c>
      <c r="AT152" s="137" t="s">
        <v>144</v>
      </c>
      <c r="AU152" s="137" t="s">
        <v>143</v>
      </c>
      <c r="AY152" s="15" t="s">
        <v>141</v>
      </c>
      <c r="BE152" s="138">
        <f t="shared" si="4"/>
        <v>0</v>
      </c>
      <c r="BF152" s="138">
        <f t="shared" si="5"/>
        <v>44381.07</v>
      </c>
      <c r="BG152" s="138">
        <f t="shared" si="6"/>
        <v>0</v>
      </c>
      <c r="BH152" s="138">
        <f t="shared" si="7"/>
        <v>0</v>
      </c>
      <c r="BI152" s="138">
        <f t="shared" si="8"/>
        <v>0</v>
      </c>
      <c r="BJ152" s="15" t="s">
        <v>143</v>
      </c>
      <c r="BK152" s="138">
        <f t="shared" si="9"/>
        <v>44381.07</v>
      </c>
      <c r="BL152" s="15" t="s">
        <v>149</v>
      </c>
      <c r="BM152" s="137" t="s">
        <v>167</v>
      </c>
    </row>
    <row r="153" spans="2:65" s="1" customFormat="1" ht="33" customHeight="1">
      <c r="B153" s="126"/>
      <c r="C153" s="127" t="s">
        <v>168</v>
      </c>
      <c r="D153" s="127" t="s">
        <v>144</v>
      </c>
      <c r="E153" s="128" t="s">
        <v>169</v>
      </c>
      <c r="F153" s="129" t="s">
        <v>170</v>
      </c>
      <c r="G153" s="130" t="s">
        <v>162</v>
      </c>
      <c r="H153" s="131">
        <v>560.36699999999996</v>
      </c>
      <c r="I153" s="132">
        <v>298</v>
      </c>
      <c r="J153" s="132">
        <f t="shared" si="0"/>
        <v>166989.37</v>
      </c>
      <c r="K153" s="129" t="s">
        <v>148</v>
      </c>
      <c r="L153" s="27"/>
      <c r="M153" s="133" t="s">
        <v>1</v>
      </c>
      <c r="N153" s="134" t="s">
        <v>39</v>
      </c>
      <c r="O153" s="135">
        <v>8.6999999999999994E-2</v>
      </c>
      <c r="P153" s="135">
        <f t="shared" si="1"/>
        <v>48.75192899999999</v>
      </c>
      <c r="Q153" s="135">
        <v>0</v>
      </c>
      <c r="R153" s="135">
        <f t="shared" si="2"/>
        <v>0</v>
      </c>
      <c r="S153" s="135">
        <v>0</v>
      </c>
      <c r="T153" s="136">
        <f t="shared" si="3"/>
        <v>0</v>
      </c>
      <c r="AR153" s="137" t="s">
        <v>149</v>
      </c>
      <c r="AT153" s="137" t="s">
        <v>144</v>
      </c>
      <c r="AU153" s="137" t="s">
        <v>143</v>
      </c>
      <c r="AY153" s="15" t="s">
        <v>141</v>
      </c>
      <c r="BE153" s="138">
        <f t="shared" si="4"/>
        <v>0</v>
      </c>
      <c r="BF153" s="138">
        <f t="shared" si="5"/>
        <v>166989.37</v>
      </c>
      <c r="BG153" s="138">
        <f t="shared" si="6"/>
        <v>0</v>
      </c>
      <c r="BH153" s="138">
        <f t="shared" si="7"/>
        <v>0</v>
      </c>
      <c r="BI153" s="138">
        <f t="shared" si="8"/>
        <v>0</v>
      </c>
      <c r="BJ153" s="15" t="s">
        <v>143</v>
      </c>
      <c r="BK153" s="138">
        <f t="shared" si="9"/>
        <v>166989.37</v>
      </c>
      <c r="BL153" s="15" t="s">
        <v>149</v>
      </c>
      <c r="BM153" s="137" t="s">
        <v>171</v>
      </c>
    </row>
    <row r="154" spans="2:65" s="1" customFormat="1" ht="24.2" customHeight="1">
      <c r="B154" s="126"/>
      <c r="C154" s="127" t="s">
        <v>172</v>
      </c>
      <c r="D154" s="127" t="s">
        <v>144</v>
      </c>
      <c r="E154" s="128" t="s">
        <v>173</v>
      </c>
      <c r="F154" s="129" t="s">
        <v>174</v>
      </c>
      <c r="G154" s="130" t="s">
        <v>162</v>
      </c>
      <c r="H154" s="131">
        <v>560.36699999999996</v>
      </c>
      <c r="I154" s="132">
        <v>50.2</v>
      </c>
      <c r="J154" s="132">
        <f t="shared" si="0"/>
        <v>28130.42</v>
      </c>
      <c r="K154" s="129" t="s">
        <v>148</v>
      </c>
      <c r="L154" s="27"/>
      <c r="M154" s="133" t="s">
        <v>1</v>
      </c>
      <c r="N154" s="134" t="s">
        <v>39</v>
      </c>
      <c r="O154" s="135">
        <v>7.1999999999999995E-2</v>
      </c>
      <c r="P154" s="135">
        <f t="shared" si="1"/>
        <v>40.346423999999992</v>
      </c>
      <c r="Q154" s="135">
        <v>0</v>
      </c>
      <c r="R154" s="135">
        <f t="shared" si="2"/>
        <v>0</v>
      </c>
      <c r="S154" s="135">
        <v>0</v>
      </c>
      <c r="T154" s="136">
        <f t="shared" si="3"/>
        <v>0</v>
      </c>
      <c r="AR154" s="137" t="s">
        <v>149</v>
      </c>
      <c r="AT154" s="137" t="s">
        <v>144</v>
      </c>
      <c r="AU154" s="137" t="s">
        <v>143</v>
      </c>
      <c r="AY154" s="15" t="s">
        <v>141</v>
      </c>
      <c r="BE154" s="138">
        <f t="shared" si="4"/>
        <v>0</v>
      </c>
      <c r="BF154" s="138">
        <f t="shared" si="5"/>
        <v>28130.42</v>
      </c>
      <c r="BG154" s="138">
        <f t="shared" si="6"/>
        <v>0</v>
      </c>
      <c r="BH154" s="138">
        <f t="shared" si="7"/>
        <v>0</v>
      </c>
      <c r="BI154" s="138">
        <f t="shared" si="8"/>
        <v>0</v>
      </c>
      <c r="BJ154" s="15" t="s">
        <v>143</v>
      </c>
      <c r="BK154" s="138">
        <f t="shared" si="9"/>
        <v>28130.42</v>
      </c>
      <c r="BL154" s="15" t="s">
        <v>149</v>
      </c>
      <c r="BM154" s="137" t="s">
        <v>175</v>
      </c>
    </row>
    <row r="155" spans="2:65" s="1" customFormat="1" ht="24.2" customHeight="1">
      <c r="B155" s="126"/>
      <c r="C155" s="127" t="s">
        <v>176</v>
      </c>
      <c r="D155" s="127" t="s">
        <v>144</v>
      </c>
      <c r="E155" s="128" t="s">
        <v>177</v>
      </c>
      <c r="F155" s="129" t="s">
        <v>178</v>
      </c>
      <c r="G155" s="130" t="s">
        <v>179</v>
      </c>
      <c r="H155" s="131">
        <v>1008.6609999999999</v>
      </c>
      <c r="I155" s="132">
        <v>1330</v>
      </c>
      <c r="J155" s="132">
        <f t="shared" si="0"/>
        <v>1341519.1299999999</v>
      </c>
      <c r="K155" s="129" t="s">
        <v>148</v>
      </c>
      <c r="L155" s="27"/>
      <c r="M155" s="133" t="s">
        <v>1</v>
      </c>
      <c r="N155" s="134" t="s">
        <v>39</v>
      </c>
      <c r="O155" s="135">
        <v>0</v>
      </c>
      <c r="P155" s="135">
        <f t="shared" si="1"/>
        <v>0</v>
      </c>
      <c r="Q155" s="135">
        <v>0</v>
      </c>
      <c r="R155" s="135">
        <f t="shared" si="2"/>
        <v>0</v>
      </c>
      <c r="S155" s="135">
        <v>0</v>
      </c>
      <c r="T155" s="136">
        <f t="shared" si="3"/>
        <v>0</v>
      </c>
      <c r="AR155" s="137" t="s">
        <v>149</v>
      </c>
      <c r="AT155" s="137" t="s">
        <v>144</v>
      </c>
      <c r="AU155" s="137" t="s">
        <v>143</v>
      </c>
      <c r="AY155" s="15" t="s">
        <v>141</v>
      </c>
      <c r="BE155" s="138">
        <f t="shared" si="4"/>
        <v>0</v>
      </c>
      <c r="BF155" s="138">
        <f t="shared" si="5"/>
        <v>1341519.1299999999</v>
      </c>
      <c r="BG155" s="138">
        <f t="shared" si="6"/>
        <v>0</v>
      </c>
      <c r="BH155" s="138">
        <f t="shared" si="7"/>
        <v>0</v>
      </c>
      <c r="BI155" s="138">
        <f t="shared" si="8"/>
        <v>0</v>
      </c>
      <c r="BJ155" s="15" t="s">
        <v>143</v>
      </c>
      <c r="BK155" s="138">
        <f t="shared" si="9"/>
        <v>1341519.1299999999</v>
      </c>
      <c r="BL155" s="15" t="s">
        <v>149</v>
      </c>
      <c r="BM155" s="137" t="s">
        <v>180</v>
      </c>
    </row>
    <row r="156" spans="2:65" s="1" customFormat="1" ht="16.5" customHeight="1">
      <c r="B156" s="126"/>
      <c r="C156" s="127" t="s">
        <v>181</v>
      </c>
      <c r="D156" s="127" t="s">
        <v>144</v>
      </c>
      <c r="E156" s="128" t="s">
        <v>182</v>
      </c>
      <c r="F156" s="129" t="s">
        <v>183</v>
      </c>
      <c r="G156" s="130" t="s">
        <v>162</v>
      </c>
      <c r="H156" s="131">
        <v>560.36699999999996</v>
      </c>
      <c r="I156" s="132">
        <v>20.7</v>
      </c>
      <c r="J156" s="132">
        <f t="shared" si="0"/>
        <v>11599.6</v>
      </c>
      <c r="K156" s="129" t="s">
        <v>148</v>
      </c>
      <c r="L156" s="27"/>
      <c r="M156" s="133" t="s">
        <v>1</v>
      </c>
      <c r="N156" s="134" t="s">
        <v>39</v>
      </c>
      <c r="O156" s="135">
        <v>8.9999999999999993E-3</v>
      </c>
      <c r="P156" s="135">
        <f t="shared" si="1"/>
        <v>5.043302999999999</v>
      </c>
      <c r="Q156" s="135">
        <v>0</v>
      </c>
      <c r="R156" s="135">
        <f t="shared" si="2"/>
        <v>0</v>
      </c>
      <c r="S156" s="135">
        <v>0</v>
      </c>
      <c r="T156" s="136">
        <f t="shared" si="3"/>
        <v>0</v>
      </c>
      <c r="AR156" s="137" t="s">
        <v>149</v>
      </c>
      <c r="AT156" s="137" t="s">
        <v>144</v>
      </c>
      <c r="AU156" s="137" t="s">
        <v>143</v>
      </c>
      <c r="AY156" s="15" t="s">
        <v>141</v>
      </c>
      <c r="BE156" s="138">
        <f t="shared" si="4"/>
        <v>0</v>
      </c>
      <c r="BF156" s="138">
        <f t="shared" si="5"/>
        <v>11599.6</v>
      </c>
      <c r="BG156" s="138">
        <f t="shared" si="6"/>
        <v>0</v>
      </c>
      <c r="BH156" s="138">
        <f t="shared" si="7"/>
        <v>0</v>
      </c>
      <c r="BI156" s="138">
        <f t="shared" si="8"/>
        <v>0</v>
      </c>
      <c r="BJ156" s="15" t="s">
        <v>143</v>
      </c>
      <c r="BK156" s="138">
        <f t="shared" si="9"/>
        <v>11599.6</v>
      </c>
      <c r="BL156" s="15" t="s">
        <v>149</v>
      </c>
      <c r="BM156" s="137" t="s">
        <v>184</v>
      </c>
    </row>
    <row r="157" spans="2:65" s="1" customFormat="1" ht="24.2" customHeight="1">
      <c r="B157" s="126"/>
      <c r="C157" s="127" t="s">
        <v>185</v>
      </c>
      <c r="D157" s="127" t="s">
        <v>144</v>
      </c>
      <c r="E157" s="128" t="s">
        <v>186</v>
      </c>
      <c r="F157" s="129" t="s">
        <v>187</v>
      </c>
      <c r="G157" s="130" t="s">
        <v>157</v>
      </c>
      <c r="H157" s="131">
        <v>650.88</v>
      </c>
      <c r="I157" s="132">
        <v>24.1</v>
      </c>
      <c r="J157" s="132">
        <f t="shared" si="0"/>
        <v>15686.21</v>
      </c>
      <c r="K157" s="129" t="s">
        <v>148</v>
      </c>
      <c r="L157" s="27"/>
      <c r="M157" s="133" t="s">
        <v>1</v>
      </c>
      <c r="N157" s="134" t="s">
        <v>39</v>
      </c>
      <c r="O157" s="135">
        <v>2.5000000000000001E-2</v>
      </c>
      <c r="P157" s="135">
        <f t="shared" si="1"/>
        <v>16.272000000000002</v>
      </c>
      <c r="Q157" s="135">
        <v>0</v>
      </c>
      <c r="R157" s="135">
        <f t="shared" si="2"/>
        <v>0</v>
      </c>
      <c r="S157" s="135">
        <v>0</v>
      </c>
      <c r="T157" s="136">
        <f t="shared" si="3"/>
        <v>0</v>
      </c>
      <c r="AR157" s="137" t="s">
        <v>149</v>
      </c>
      <c r="AT157" s="137" t="s">
        <v>144</v>
      </c>
      <c r="AU157" s="137" t="s">
        <v>143</v>
      </c>
      <c r="AY157" s="15" t="s">
        <v>141</v>
      </c>
      <c r="BE157" s="138">
        <f t="shared" si="4"/>
        <v>0</v>
      </c>
      <c r="BF157" s="138">
        <f t="shared" si="5"/>
        <v>15686.21</v>
      </c>
      <c r="BG157" s="138">
        <f t="shared" si="6"/>
        <v>0</v>
      </c>
      <c r="BH157" s="138">
        <f t="shared" si="7"/>
        <v>0</v>
      </c>
      <c r="BI157" s="138">
        <f t="shared" si="8"/>
        <v>0</v>
      </c>
      <c r="BJ157" s="15" t="s">
        <v>143</v>
      </c>
      <c r="BK157" s="138">
        <f t="shared" si="9"/>
        <v>15686.21</v>
      </c>
      <c r="BL157" s="15" t="s">
        <v>149</v>
      </c>
      <c r="BM157" s="137" t="s">
        <v>188</v>
      </c>
    </row>
    <row r="158" spans="2:65" s="11" customFormat="1" ht="22.9" customHeight="1">
      <c r="B158" s="115"/>
      <c r="D158" s="116" t="s">
        <v>72</v>
      </c>
      <c r="E158" s="124" t="s">
        <v>143</v>
      </c>
      <c r="F158" s="124" t="s">
        <v>189</v>
      </c>
      <c r="J158" s="125">
        <f>BK158</f>
        <v>5783743.2100000009</v>
      </c>
      <c r="L158" s="115"/>
      <c r="M158" s="119"/>
      <c r="P158" s="120">
        <f>SUM(P159:P173)</f>
        <v>1748.0063840000003</v>
      </c>
      <c r="R158" s="120">
        <f>SUM(R159:R173)</f>
        <v>1537.7670329199998</v>
      </c>
      <c r="T158" s="121">
        <f>SUM(T159:T173)</f>
        <v>0</v>
      </c>
      <c r="AR158" s="116" t="s">
        <v>81</v>
      </c>
      <c r="AT158" s="122" t="s">
        <v>72</v>
      </c>
      <c r="AU158" s="122" t="s">
        <v>81</v>
      </c>
      <c r="AY158" s="116" t="s">
        <v>141</v>
      </c>
      <c r="BK158" s="123">
        <f>SUM(BK159:BK173)</f>
        <v>5783743.2100000009</v>
      </c>
    </row>
    <row r="159" spans="2:65" s="1" customFormat="1" ht="24.2" customHeight="1">
      <c r="B159" s="126"/>
      <c r="C159" s="127" t="s">
        <v>190</v>
      </c>
      <c r="D159" s="127" t="s">
        <v>144</v>
      </c>
      <c r="E159" s="128" t="s">
        <v>191</v>
      </c>
      <c r="F159" s="129" t="s">
        <v>192</v>
      </c>
      <c r="G159" s="130" t="s">
        <v>193</v>
      </c>
      <c r="H159" s="131">
        <v>57.887999999999998</v>
      </c>
      <c r="I159" s="132">
        <v>1610</v>
      </c>
      <c r="J159" s="132">
        <f t="shared" ref="J159:J173" si="10">ROUND(I159*H159,2)</f>
        <v>93199.679999999993</v>
      </c>
      <c r="K159" s="129" t="s">
        <v>148</v>
      </c>
      <c r="L159" s="27"/>
      <c r="M159" s="133" t="s">
        <v>1</v>
      </c>
      <c r="N159" s="134" t="s">
        <v>39</v>
      </c>
      <c r="O159" s="135">
        <v>0.26600000000000001</v>
      </c>
      <c r="P159" s="135">
        <f t="shared" ref="P159:P173" si="11">O159*H159</f>
        <v>15.398208</v>
      </c>
      <c r="Q159" s="135">
        <v>3.0000000000000001E-5</v>
      </c>
      <c r="R159" s="135">
        <f t="shared" ref="R159:R173" si="12">Q159*H159</f>
        <v>1.73664E-3</v>
      </c>
      <c r="S159" s="135">
        <v>0</v>
      </c>
      <c r="T159" s="136">
        <f t="shared" ref="T159:T173" si="13">S159*H159</f>
        <v>0</v>
      </c>
      <c r="AR159" s="137" t="s">
        <v>149</v>
      </c>
      <c r="AT159" s="137" t="s">
        <v>144</v>
      </c>
      <c r="AU159" s="137" t="s">
        <v>143</v>
      </c>
      <c r="AY159" s="15" t="s">
        <v>141</v>
      </c>
      <c r="BE159" s="138">
        <f t="shared" ref="BE159:BE173" si="14">IF(N159="základní",J159,0)</f>
        <v>0</v>
      </c>
      <c r="BF159" s="138">
        <f t="shared" ref="BF159:BF173" si="15">IF(N159="snížená",J159,0)</f>
        <v>93199.679999999993</v>
      </c>
      <c r="BG159" s="138">
        <f t="shared" ref="BG159:BG173" si="16">IF(N159="zákl. přenesená",J159,0)</f>
        <v>0</v>
      </c>
      <c r="BH159" s="138">
        <f t="shared" ref="BH159:BH173" si="17">IF(N159="sníž. přenesená",J159,0)</f>
        <v>0</v>
      </c>
      <c r="BI159" s="138">
        <f t="shared" ref="BI159:BI173" si="18">IF(N159="nulová",J159,0)</f>
        <v>0</v>
      </c>
      <c r="BJ159" s="15" t="s">
        <v>143</v>
      </c>
      <c r="BK159" s="138">
        <f t="shared" ref="BK159:BK173" si="19">ROUND(I159*H159,2)</f>
        <v>93199.679999999993</v>
      </c>
      <c r="BL159" s="15" t="s">
        <v>149</v>
      </c>
      <c r="BM159" s="137" t="s">
        <v>194</v>
      </c>
    </row>
    <row r="160" spans="2:65" s="1" customFormat="1" ht="24.2" customHeight="1">
      <c r="B160" s="126"/>
      <c r="C160" s="127" t="s">
        <v>195</v>
      </c>
      <c r="D160" s="127" t="s">
        <v>144</v>
      </c>
      <c r="E160" s="128" t="s">
        <v>196</v>
      </c>
      <c r="F160" s="129" t="s">
        <v>197</v>
      </c>
      <c r="G160" s="130" t="s">
        <v>193</v>
      </c>
      <c r="H160" s="131">
        <v>170.44800000000001</v>
      </c>
      <c r="I160" s="132">
        <v>1980</v>
      </c>
      <c r="J160" s="132">
        <f t="shared" si="10"/>
        <v>337487.04</v>
      </c>
      <c r="K160" s="129" t="s">
        <v>148</v>
      </c>
      <c r="L160" s="27"/>
      <c r="M160" s="133" t="s">
        <v>1</v>
      </c>
      <c r="N160" s="134" t="s">
        <v>39</v>
      </c>
      <c r="O160" s="135">
        <v>0.32700000000000001</v>
      </c>
      <c r="P160" s="135">
        <f t="shared" si="11"/>
        <v>55.736496000000002</v>
      </c>
      <c r="Q160" s="135">
        <v>4.0000000000000003E-5</v>
      </c>
      <c r="R160" s="135">
        <f t="shared" si="12"/>
        <v>6.8179200000000008E-3</v>
      </c>
      <c r="S160" s="135">
        <v>0</v>
      </c>
      <c r="T160" s="136">
        <f t="shared" si="13"/>
        <v>0</v>
      </c>
      <c r="AR160" s="137" t="s">
        <v>149</v>
      </c>
      <c r="AT160" s="137" t="s">
        <v>144</v>
      </c>
      <c r="AU160" s="137" t="s">
        <v>143</v>
      </c>
      <c r="AY160" s="15" t="s">
        <v>141</v>
      </c>
      <c r="BE160" s="138">
        <f t="shared" si="14"/>
        <v>0</v>
      </c>
      <c r="BF160" s="138">
        <f t="shared" si="15"/>
        <v>337487.04</v>
      </c>
      <c r="BG160" s="138">
        <f t="shared" si="16"/>
        <v>0</v>
      </c>
      <c r="BH160" s="138">
        <f t="shared" si="17"/>
        <v>0</v>
      </c>
      <c r="BI160" s="138">
        <f t="shared" si="18"/>
        <v>0</v>
      </c>
      <c r="BJ160" s="15" t="s">
        <v>143</v>
      </c>
      <c r="BK160" s="138">
        <f t="shared" si="19"/>
        <v>337487.04</v>
      </c>
      <c r="BL160" s="15" t="s">
        <v>149</v>
      </c>
      <c r="BM160" s="137" t="s">
        <v>198</v>
      </c>
    </row>
    <row r="161" spans="2:65" s="1" customFormat="1" ht="24.2" customHeight="1">
      <c r="B161" s="126"/>
      <c r="C161" s="127" t="s">
        <v>199</v>
      </c>
      <c r="D161" s="127" t="s">
        <v>144</v>
      </c>
      <c r="E161" s="128" t="s">
        <v>200</v>
      </c>
      <c r="F161" s="129" t="s">
        <v>201</v>
      </c>
      <c r="G161" s="130" t="s">
        <v>193</v>
      </c>
      <c r="H161" s="131">
        <v>169.34399999999999</v>
      </c>
      <c r="I161" s="132">
        <v>2150</v>
      </c>
      <c r="J161" s="132">
        <f t="shared" si="10"/>
        <v>364089.59999999998</v>
      </c>
      <c r="K161" s="129" t="s">
        <v>148</v>
      </c>
      <c r="L161" s="27"/>
      <c r="M161" s="133" t="s">
        <v>1</v>
      </c>
      <c r="N161" s="134" t="s">
        <v>39</v>
      </c>
      <c r="O161" s="135">
        <v>0.35499999999999998</v>
      </c>
      <c r="P161" s="135">
        <f t="shared" si="11"/>
        <v>60.117119999999993</v>
      </c>
      <c r="Q161" s="135">
        <v>4.0000000000000003E-5</v>
      </c>
      <c r="R161" s="135">
        <f t="shared" si="12"/>
        <v>6.7737600000000002E-3</v>
      </c>
      <c r="S161" s="135">
        <v>0</v>
      </c>
      <c r="T161" s="136">
        <f t="shared" si="13"/>
        <v>0</v>
      </c>
      <c r="AR161" s="137" t="s">
        <v>149</v>
      </c>
      <c r="AT161" s="137" t="s">
        <v>144</v>
      </c>
      <c r="AU161" s="137" t="s">
        <v>143</v>
      </c>
      <c r="AY161" s="15" t="s">
        <v>141</v>
      </c>
      <c r="BE161" s="138">
        <f t="shared" si="14"/>
        <v>0</v>
      </c>
      <c r="BF161" s="138">
        <f t="shared" si="15"/>
        <v>364089.59999999998</v>
      </c>
      <c r="BG161" s="138">
        <f t="shared" si="16"/>
        <v>0</v>
      </c>
      <c r="BH161" s="138">
        <f t="shared" si="17"/>
        <v>0</v>
      </c>
      <c r="BI161" s="138">
        <f t="shared" si="18"/>
        <v>0</v>
      </c>
      <c r="BJ161" s="15" t="s">
        <v>143</v>
      </c>
      <c r="BK161" s="138">
        <f t="shared" si="19"/>
        <v>364089.59999999998</v>
      </c>
      <c r="BL161" s="15" t="s">
        <v>149</v>
      </c>
      <c r="BM161" s="137" t="s">
        <v>202</v>
      </c>
    </row>
    <row r="162" spans="2:65" s="1" customFormat="1" ht="24.2" customHeight="1">
      <c r="B162" s="126"/>
      <c r="C162" s="127" t="s">
        <v>8</v>
      </c>
      <c r="D162" s="127" t="s">
        <v>144</v>
      </c>
      <c r="E162" s="128" t="s">
        <v>203</v>
      </c>
      <c r="F162" s="129" t="s">
        <v>204</v>
      </c>
      <c r="G162" s="130" t="s">
        <v>193</v>
      </c>
      <c r="H162" s="131">
        <v>57.887999999999998</v>
      </c>
      <c r="I162" s="132">
        <v>301</v>
      </c>
      <c r="J162" s="132">
        <f t="shared" si="10"/>
        <v>17424.29</v>
      </c>
      <c r="K162" s="129" t="s">
        <v>148</v>
      </c>
      <c r="L162" s="27"/>
      <c r="M162" s="133" t="s">
        <v>1</v>
      </c>
      <c r="N162" s="134" t="s">
        <v>39</v>
      </c>
      <c r="O162" s="135">
        <v>0.21</v>
      </c>
      <c r="P162" s="135">
        <f t="shared" si="11"/>
        <v>12.156479999999998</v>
      </c>
      <c r="Q162" s="135">
        <v>0</v>
      </c>
      <c r="R162" s="135">
        <f t="shared" si="12"/>
        <v>0</v>
      </c>
      <c r="S162" s="135">
        <v>0</v>
      </c>
      <c r="T162" s="136">
        <f t="shared" si="13"/>
        <v>0</v>
      </c>
      <c r="AR162" s="137" t="s">
        <v>149</v>
      </c>
      <c r="AT162" s="137" t="s">
        <v>144</v>
      </c>
      <c r="AU162" s="137" t="s">
        <v>143</v>
      </c>
      <c r="AY162" s="15" t="s">
        <v>141</v>
      </c>
      <c r="BE162" s="138">
        <f t="shared" si="14"/>
        <v>0</v>
      </c>
      <c r="BF162" s="138">
        <f t="shared" si="15"/>
        <v>17424.29</v>
      </c>
      <c r="BG162" s="138">
        <f t="shared" si="16"/>
        <v>0</v>
      </c>
      <c r="BH162" s="138">
        <f t="shared" si="17"/>
        <v>0</v>
      </c>
      <c r="BI162" s="138">
        <f t="shared" si="18"/>
        <v>0</v>
      </c>
      <c r="BJ162" s="15" t="s">
        <v>143</v>
      </c>
      <c r="BK162" s="138">
        <f t="shared" si="19"/>
        <v>17424.29</v>
      </c>
      <c r="BL162" s="15" t="s">
        <v>149</v>
      </c>
      <c r="BM162" s="137" t="s">
        <v>205</v>
      </c>
    </row>
    <row r="163" spans="2:65" s="1" customFormat="1" ht="16.5" customHeight="1">
      <c r="B163" s="126"/>
      <c r="C163" s="139" t="s">
        <v>206</v>
      </c>
      <c r="D163" s="139" t="s">
        <v>207</v>
      </c>
      <c r="E163" s="140" t="s">
        <v>208</v>
      </c>
      <c r="F163" s="141" t="s">
        <v>209</v>
      </c>
      <c r="G163" s="142" t="s">
        <v>162</v>
      </c>
      <c r="H163" s="143">
        <v>16.359000000000002</v>
      </c>
      <c r="I163" s="144">
        <v>3110</v>
      </c>
      <c r="J163" s="144">
        <f t="shared" si="10"/>
        <v>50876.49</v>
      </c>
      <c r="K163" s="141" t="s">
        <v>148</v>
      </c>
      <c r="L163" s="145"/>
      <c r="M163" s="146" t="s">
        <v>1</v>
      </c>
      <c r="N163" s="147" t="s">
        <v>39</v>
      </c>
      <c r="O163" s="135">
        <v>0</v>
      </c>
      <c r="P163" s="135">
        <f t="shared" si="11"/>
        <v>0</v>
      </c>
      <c r="Q163" s="135">
        <v>2.4289999999999998</v>
      </c>
      <c r="R163" s="135">
        <f t="shared" si="12"/>
        <v>39.736011000000005</v>
      </c>
      <c r="S163" s="135">
        <v>0</v>
      </c>
      <c r="T163" s="136">
        <f t="shared" si="13"/>
        <v>0</v>
      </c>
      <c r="AR163" s="137" t="s">
        <v>172</v>
      </c>
      <c r="AT163" s="137" t="s">
        <v>207</v>
      </c>
      <c r="AU163" s="137" t="s">
        <v>143</v>
      </c>
      <c r="AY163" s="15" t="s">
        <v>141</v>
      </c>
      <c r="BE163" s="138">
        <f t="shared" si="14"/>
        <v>0</v>
      </c>
      <c r="BF163" s="138">
        <f t="shared" si="15"/>
        <v>50876.49</v>
      </c>
      <c r="BG163" s="138">
        <f t="shared" si="16"/>
        <v>0</v>
      </c>
      <c r="BH163" s="138">
        <f t="shared" si="17"/>
        <v>0</v>
      </c>
      <c r="BI163" s="138">
        <f t="shared" si="18"/>
        <v>0</v>
      </c>
      <c r="BJ163" s="15" t="s">
        <v>143</v>
      </c>
      <c r="BK163" s="138">
        <f t="shared" si="19"/>
        <v>50876.49</v>
      </c>
      <c r="BL163" s="15" t="s">
        <v>149</v>
      </c>
      <c r="BM163" s="137" t="s">
        <v>210</v>
      </c>
    </row>
    <row r="164" spans="2:65" s="1" customFormat="1" ht="24.2" customHeight="1">
      <c r="B164" s="126"/>
      <c r="C164" s="127" t="s">
        <v>211</v>
      </c>
      <c r="D164" s="127" t="s">
        <v>144</v>
      </c>
      <c r="E164" s="128" t="s">
        <v>212</v>
      </c>
      <c r="F164" s="129" t="s">
        <v>213</v>
      </c>
      <c r="G164" s="130" t="s">
        <v>193</v>
      </c>
      <c r="H164" s="131">
        <v>339.79199999999997</v>
      </c>
      <c r="I164" s="132">
        <v>615</v>
      </c>
      <c r="J164" s="132">
        <f t="shared" si="10"/>
        <v>208972.08</v>
      </c>
      <c r="K164" s="129" t="s">
        <v>148</v>
      </c>
      <c r="L164" s="27"/>
      <c r="M164" s="133" t="s">
        <v>1</v>
      </c>
      <c r="N164" s="134" t="s">
        <v>39</v>
      </c>
      <c r="O164" s="135">
        <v>0.43</v>
      </c>
      <c r="P164" s="135">
        <f t="shared" si="11"/>
        <v>146.11055999999999</v>
      </c>
      <c r="Q164" s="135">
        <v>0</v>
      </c>
      <c r="R164" s="135">
        <f t="shared" si="12"/>
        <v>0</v>
      </c>
      <c r="S164" s="135">
        <v>0</v>
      </c>
      <c r="T164" s="136">
        <f t="shared" si="13"/>
        <v>0</v>
      </c>
      <c r="AR164" s="137" t="s">
        <v>149</v>
      </c>
      <c r="AT164" s="137" t="s">
        <v>144</v>
      </c>
      <c r="AU164" s="137" t="s">
        <v>143</v>
      </c>
      <c r="AY164" s="15" t="s">
        <v>141</v>
      </c>
      <c r="BE164" s="138">
        <f t="shared" si="14"/>
        <v>0</v>
      </c>
      <c r="BF164" s="138">
        <f t="shared" si="15"/>
        <v>208972.08</v>
      </c>
      <c r="BG164" s="138">
        <f t="shared" si="16"/>
        <v>0</v>
      </c>
      <c r="BH164" s="138">
        <f t="shared" si="17"/>
        <v>0</v>
      </c>
      <c r="BI164" s="138">
        <f t="shared" si="18"/>
        <v>0</v>
      </c>
      <c r="BJ164" s="15" t="s">
        <v>143</v>
      </c>
      <c r="BK164" s="138">
        <f t="shared" si="19"/>
        <v>208972.08</v>
      </c>
      <c r="BL164" s="15" t="s">
        <v>149</v>
      </c>
      <c r="BM164" s="137" t="s">
        <v>214</v>
      </c>
    </row>
    <row r="165" spans="2:65" s="1" customFormat="1" ht="16.5" customHeight="1">
      <c r="B165" s="126"/>
      <c r="C165" s="139" t="s">
        <v>215</v>
      </c>
      <c r="D165" s="139" t="s">
        <v>207</v>
      </c>
      <c r="E165" s="140" t="s">
        <v>208</v>
      </c>
      <c r="F165" s="141" t="s">
        <v>209</v>
      </c>
      <c r="G165" s="142" t="s">
        <v>162</v>
      </c>
      <c r="H165" s="143">
        <v>218.56800000000001</v>
      </c>
      <c r="I165" s="144">
        <v>3110</v>
      </c>
      <c r="J165" s="144">
        <f t="shared" si="10"/>
        <v>679746.48</v>
      </c>
      <c r="K165" s="141" t="s">
        <v>148</v>
      </c>
      <c r="L165" s="145"/>
      <c r="M165" s="146" t="s">
        <v>1</v>
      </c>
      <c r="N165" s="147" t="s">
        <v>39</v>
      </c>
      <c r="O165" s="135">
        <v>0</v>
      </c>
      <c r="P165" s="135">
        <f t="shared" si="11"/>
        <v>0</v>
      </c>
      <c r="Q165" s="135">
        <v>2.4289999999999998</v>
      </c>
      <c r="R165" s="135">
        <f t="shared" si="12"/>
        <v>530.90167199999996</v>
      </c>
      <c r="S165" s="135">
        <v>0</v>
      </c>
      <c r="T165" s="136">
        <f t="shared" si="13"/>
        <v>0</v>
      </c>
      <c r="AR165" s="137" t="s">
        <v>172</v>
      </c>
      <c r="AT165" s="137" t="s">
        <v>207</v>
      </c>
      <c r="AU165" s="137" t="s">
        <v>143</v>
      </c>
      <c r="AY165" s="15" t="s">
        <v>141</v>
      </c>
      <c r="BE165" s="138">
        <f t="shared" si="14"/>
        <v>0</v>
      </c>
      <c r="BF165" s="138">
        <f t="shared" si="15"/>
        <v>679746.48</v>
      </c>
      <c r="BG165" s="138">
        <f t="shared" si="16"/>
        <v>0</v>
      </c>
      <c r="BH165" s="138">
        <f t="shared" si="17"/>
        <v>0</v>
      </c>
      <c r="BI165" s="138">
        <f t="shared" si="18"/>
        <v>0</v>
      </c>
      <c r="BJ165" s="15" t="s">
        <v>143</v>
      </c>
      <c r="BK165" s="138">
        <f t="shared" si="19"/>
        <v>679746.48</v>
      </c>
      <c r="BL165" s="15" t="s">
        <v>149</v>
      </c>
      <c r="BM165" s="137" t="s">
        <v>216</v>
      </c>
    </row>
    <row r="166" spans="2:65" s="1" customFormat="1" ht="24.2" customHeight="1">
      <c r="B166" s="126"/>
      <c r="C166" s="127" t="s">
        <v>217</v>
      </c>
      <c r="D166" s="127" t="s">
        <v>144</v>
      </c>
      <c r="E166" s="128" t="s">
        <v>218</v>
      </c>
      <c r="F166" s="129" t="s">
        <v>219</v>
      </c>
      <c r="G166" s="130" t="s">
        <v>179</v>
      </c>
      <c r="H166" s="131">
        <v>10.08</v>
      </c>
      <c r="I166" s="132">
        <v>66700</v>
      </c>
      <c r="J166" s="132">
        <f t="shared" si="10"/>
        <v>672336</v>
      </c>
      <c r="K166" s="129" t="s">
        <v>148</v>
      </c>
      <c r="L166" s="27"/>
      <c r="M166" s="133" t="s">
        <v>1</v>
      </c>
      <c r="N166" s="134" t="s">
        <v>39</v>
      </c>
      <c r="O166" s="135">
        <v>17.539000000000001</v>
      </c>
      <c r="P166" s="135">
        <f t="shared" si="11"/>
        <v>176.79312000000002</v>
      </c>
      <c r="Q166" s="135">
        <v>1.11381</v>
      </c>
      <c r="R166" s="135">
        <f t="shared" si="12"/>
        <v>11.227204799999999</v>
      </c>
      <c r="S166" s="135">
        <v>0</v>
      </c>
      <c r="T166" s="136">
        <f t="shared" si="13"/>
        <v>0</v>
      </c>
      <c r="AR166" s="137" t="s">
        <v>149</v>
      </c>
      <c r="AT166" s="137" t="s">
        <v>144</v>
      </c>
      <c r="AU166" s="137" t="s">
        <v>143</v>
      </c>
      <c r="AY166" s="15" t="s">
        <v>141</v>
      </c>
      <c r="BE166" s="138">
        <f t="shared" si="14"/>
        <v>0</v>
      </c>
      <c r="BF166" s="138">
        <f t="shared" si="15"/>
        <v>672336</v>
      </c>
      <c r="BG166" s="138">
        <f t="shared" si="16"/>
        <v>0</v>
      </c>
      <c r="BH166" s="138">
        <f t="shared" si="17"/>
        <v>0</v>
      </c>
      <c r="BI166" s="138">
        <f t="shared" si="18"/>
        <v>0</v>
      </c>
      <c r="BJ166" s="15" t="s">
        <v>143</v>
      </c>
      <c r="BK166" s="138">
        <f t="shared" si="19"/>
        <v>672336</v>
      </c>
      <c r="BL166" s="15" t="s">
        <v>149</v>
      </c>
      <c r="BM166" s="137" t="s">
        <v>220</v>
      </c>
    </row>
    <row r="167" spans="2:65" s="1" customFormat="1" ht="16.5" customHeight="1">
      <c r="B167" s="126"/>
      <c r="C167" s="127" t="s">
        <v>221</v>
      </c>
      <c r="D167" s="127" t="s">
        <v>144</v>
      </c>
      <c r="E167" s="128" t="s">
        <v>222</v>
      </c>
      <c r="F167" s="129" t="s">
        <v>223</v>
      </c>
      <c r="G167" s="130" t="s">
        <v>162</v>
      </c>
      <c r="H167" s="131">
        <v>130.17599999999999</v>
      </c>
      <c r="I167" s="132">
        <v>3280</v>
      </c>
      <c r="J167" s="132">
        <f t="shared" si="10"/>
        <v>426977.28000000003</v>
      </c>
      <c r="K167" s="129" t="s">
        <v>148</v>
      </c>
      <c r="L167" s="27"/>
      <c r="M167" s="133" t="s">
        <v>1</v>
      </c>
      <c r="N167" s="134" t="s">
        <v>39</v>
      </c>
      <c r="O167" s="135">
        <v>0.58399999999999996</v>
      </c>
      <c r="P167" s="135">
        <f t="shared" si="11"/>
        <v>76.022783999999987</v>
      </c>
      <c r="Q167" s="135">
        <v>2.45329</v>
      </c>
      <c r="R167" s="135">
        <f t="shared" si="12"/>
        <v>319.35947903999994</v>
      </c>
      <c r="S167" s="135">
        <v>0</v>
      </c>
      <c r="T167" s="136">
        <f t="shared" si="13"/>
        <v>0</v>
      </c>
      <c r="AR167" s="137" t="s">
        <v>149</v>
      </c>
      <c r="AT167" s="137" t="s">
        <v>144</v>
      </c>
      <c r="AU167" s="137" t="s">
        <v>143</v>
      </c>
      <c r="AY167" s="15" t="s">
        <v>141</v>
      </c>
      <c r="BE167" s="138">
        <f t="shared" si="14"/>
        <v>0</v>
      </c>
      <c r="BF167" s="138">
        <f t="shared" si="15"/>
        <v>426977.28000000003</v>
      </c>
      <c r="BG167" s="138">
        <f t="shared" si="16"/>
        <v>0</v>
      </c>
      <c r="BH167" s="138">
        <f t="shared" si="17"/>
        <v>0</v>
      </c>
      <c r="BI167" s="138">
        <f t="shared" si="18"/>
        <v>0</v>
      </c>
      <c r="BJ167" s="15" t="s">
        <v>143</v>
      </c>
      <c r="BK167" s="138">
        <f t="shared" si="19"/>
        <v>426977.28000000003</v>
      </c>
      <c r="BL167" s="15" t="s">
        <v>149</v>
      </c>
      <c r="BM167" s="137" t="s">
        <v>224</v>
      </c>
    </row>
    <row r="168" spans="2:65" s="1" customFormat="1" ht="16.5" customHeight="1">
      <c r="B168" s="126"/>
      <c r="C168" s="127" t="s">
        <v>7</v>
      </c>
      <c r="D168" s="127" t="s">
        <v>144</v>
      </c>
      <c r="E168" s="128" t="s">
        <v>225</v>
      </c>
      <c r="F168" s="129" t="s">
        <v>226</v>
      </c>
      <c r="G168" s="130" t="s">
        <v>157</v>
      </c>
      <c r="H168" s="131">
        <v>134.4</v>
      </c>
      <c r="I168" s="132">
        <v>503</v>
      </c>
      <c r="J168" s="132">
        <f t="shared" si="10"/>
        <v>67603.199999999997</v>
      </c>
      <c r="K168" s="129" t="s">
        <v>148</v>
      </c>
      <c r="L168" s="27"/>
      <c r="M168" s="133" t="s">
        <v>1</v>
      </c>
      <c r="N168" s="134" t="s">
        <v>39</v>
      </c>
      <c r="O168" s="135">
        <v>0.3</v>
      </c>
      <c r="P168" s="135">
        <f t="shared" si="11"/>
        <v>40.32</v>
      </c>
      <c r="Q168" s="135">
        <v>2.47E-3</v>
      </c>
      <c r="R168" s="135">
        <f t="shared" si="12"/>
        <v>0.33196799999999999</v>
      </c>
      <c r="S168" s="135">
        <v>0</v>
      </c>
      <c r="T168" s="136">
        <f t="shared" si="13"/>
        <v>0</v>
      </c>
      <c r="AR168" s="137" t="s">
        <v>149</v>
      </c>
      <c r="AT168" s="137" t="s">
        <v>144</v>
      </c>
      <c r="AU168" s="137" t="s">
        <v>143</v>
      </c>
      <c r="AY168" s="15" t="s">
        <v>141</v>
      </c>
      <c r="BE168" s="138">
        <f t="shared" si="14"/>
        <v>0</v>
      </c>
      <c r="BF168" s="138">
        <f t="shared" si="15"/>
        <v>67603.199999999997</v>
      </c>
      <c r="BG168" s="138">
        <f t="shared" si="16"/>
        <v>0</v>
      </c>
      <c r="BH168" s="138">
        <f t="shared" si="17"/>
        <v>0</v>
      </c>
      <c r="BI168" s="138">
        <f t="shared" si="18"/>
        <v>0</v>
      </c>
      <c r="BJ168" s="15" t="s">
        <v>143</v>
      </c>
      <c r="BK168" s="138">
        <f t="shared" si="19"/>
        <v>67603.199999999997</v>
      </c>
      <c r="BL168" s="15" t="s">
        <v>149</v>
      </c>
      <c r="BM168" s="137" t="s">
        <v>227</v>
      </c>
    </row>
    <row r="169" spans="2:65" s="1" customFormat="1" ht="16.5" customHeight="1">
      <c r="B169" s="126"/>
      <c r="C169" s="127" t="s">
        <v>228</v>
      </c>
      <c r="D169" s="127" t="s">
        <v>144</v>
      </c>
      <c r="E169" s="128" t="s">
        <v>229</v>
      </c>
      <c r="F169" s="129" t="s">
        <v>230</v>
      </c>
      <c r="G169" s="130" t="s">
        <v>157</v>
      </c>
      <c r="H169" s="131">
        <v>134.4</v>
      </c>
      <c r="I169" s="132">
        <v>128</v>
      </c>
      <c r="J169" s="132">
        <f t="shared" si="10"/>
        <v>17203.2</v>
      </c>
      <c r="K169" s="129" t="s">
        <v>148</v>
      </c>
      <c r="L169" s="27"/>
      <c r="M169" s="133" t="s">
        <v>1</v>
      </c>
      <c r="N169" s="134" t="s">
        <v>39</v>
      </c>
      <c r="O169" s="135">
        <v>0.152</v>
      </c>
      <c r="P169" s="135">
        <f t="shared" si="11"/>
        <v>20.428799999999999</v>
      </c>
      <c r="Q169" s="135">
        <v>0</v>
      </c>
      <c r="R169" s="135">
        <f t="shared" si="12"/>
        <v>0</v>
      </c>
      <c r="S169" s="135">
        <v>0</v>
      </c>
      <c r="T169" s="136">
        <f t="shared" si="13"/>
        <v>0</v>
      </c>
      <c r="AR169" s="137" t="s">
        <v>149</v>
      </c>
      <c r="AT169" s="137" t="s">
        <v>144</v>
      </c>
      <c r="AU169" s="137" t="s">
        <v>143</v>
      </c>
      <c r="AY169" s="15" t="s">
        <v>141</v>
      </c>
      <c r="BE169" s="138">
        <f t="shared" si="14"/>
        <v>0</v>
      </c>
      <c r="BF169" s="138">
        <f t="shared" si="15"/>
        <v>17203.2</v>
      </c>
      <c r="BG169" s="138">
        <f t="shared" si="16"/>
        <v>0</v>
      </c>
      <c r="BH169" s="138">
        <f t="shared" si="17"/>
        <v>0</v>
      </c>
      <c r="BI169" s="138">
        <f t="shared" si="18"/>
        <v>0</v>
      </c>
      <c r="BJ169" s="15" t="s">
        <v>143</v>
      </c>
      <c r="BK169" s="138">
        <f t="shared" si="19"/>
        <v>17203.2</v>
      </c>
      <c r="BL169" s="15" t="s">
        <v>149</v>
      </c>
      <c r="BM169" s="137" t="s">
        <v>231</v>
      </c>
    </row>
    <row r="170" spans="2:65" s="1" customFormat="1" ht="24.2" customHeight="1">
      <c r="B170" s="126"/>
      <c r="C170" s="127" t="s">
        <v>232</v>
      </c>
      <c r="D170" s="127" t="s">
        <v>144</v>
      </c>
      <c r="E170" s="128" t="s">
        <v>233</v>
      </c>
      <c r="F170" s="129" t="s">
        <v>234</v>
      </c>
      <c r="G170" s="130" t="s">
        <v>179</v>
      </c>
      <c r="H170" s="131">
        <v>23.28</v>
      </c>
      <c r="I170" s="132">
        <v>62000</v>
      </c>
      <c r="J170" s="132">
        <f t="shared" si="10"/>
        <v>1443360</v>
      </c>
      <c r="K170" s="129" t="s">
        <v>148</v>
      </c>
      <c r="L170" s="27"/>
      <c r="M170" s="133" t="s">
        <v>1</v>
      </c>
      <c r="N170" s="134" t="s">
        <v>39</v>
      </c>
      <c r="O170" s="135">
        <v>23.968</v>
      </c>
      <c r="P170" s="135">
        <f t="shared" si="11"/>
        <v>557.97504000000004</v>
      </c>
      <c r="Q170" s="135">
        <v>1.0606199999999999</v>
      </c>
      <c r="R170" s="135">
        <f t="shared" si="12"/>
        <v>24.6912336</v>
      </c>
      <c r="S170" s="135">
        <v>0</v>
      </c>
      <c r="T170" s="136">
        <f t="shared" si="13"/>
        <v>0</v>
      </c>
      <c r="AR170" s="137" t="s">
        <v>149</v>
      </c>
      <c r="AT170" s="137" t="s">
        <v>144</v>
      </c>
      <c r="AU170" s="137" t="s">
        <v>143</v>
      </c>
      <c r="AY170" s="15" t="s">
        <v>141</v>
      </c>
      <c r="BE170" s="138">
        <f t="shared" si="14"/>
        <v>0</v>
      </c>
      <c r="BF170" s="138">
        <f t="shared" si="15"/>
        <v>1443360</v>
      </c>
      <c r="BG170" s="138">
        <f t="shared" si="16"/>
        <v>0</v>
      </c>
      <c r="BH170" s="138">
        <f t="shared" si="17"/>
        <v>0</v>
      </c>
      <c r="BI170" s="138">
        <f t="shared" si="18"/>
        <v>0</v>
      </c>
      <c r="BJ170" s="15" t="s">
        <v>143</v>
      </c>
      <c r="BK170" s="138">
        <f t="shared" si="19"/>
        <v>1443360</v>
      </c>
      <c r="BL170" s="15" t="s">
        <v>149</v>
      </c>
      <c r="BM170" s="137" t="s">
        <v>235</v>
      </c>
    </row>
    <row r="171" spans="2:65" s="1" customFormat="1" ht="16.5" customHeight="1">
      <c r="B171" s="126"/>
      <c r="C171" s="127" t="s">
        <v>236</v>
      </c>
      <c r="D171" s="127" t="s">
        <v>144</v>
      </c>
      <c r="E171" s="128" t="s">
        <v>237</v>
      </c>
      <c r="F171" s="129" t="s">
        <v>238</v>
      </c>
      <c r="G171" s="130" t="s">
        <v>162</v>
      </c>
      <c r="H171" s="131">
        <v>269.464</v>
      </c>
      <c r="I171" s="132">
        <v>3100</v>
      </c>
      <c r="J171" s="132">
        <f t="shared" si="10"/>
        <v>835338.4</v>
      </c>
      <c r="K171" s="129" t="s">
        <v>148</v>
      </c>
      <c r="L171" s="27"/>
      <c r="M171" s="133" t="s">
        <v>1</v>
      </c>
      <c r="N171" s="134" t="s">
        <v>39</v>
      </c>
      <c r="O171" s="135">
        <v>0.58399999999999996</v>
      </c>
      <c r="P171" s="135">
        <f t="shared" si="11"/>
        <v>157.36697599999999</v>
      </c>
      <c r="Q171" s="135">
        <v>2.2563399999999998</v>
      </c>
      <c r="R171" s="135">
        <f t="shared" si="12"/>
        <v>608.00240175999988</v>
      </c>
      <c r="S171" s="135">
        <v>0</v>
      </c>
      <c r="T171" s="136">
        <f t="shared" si="13"/>
        <v>0</v>
      </c>
      <c r="AR171" s="137" t="s">
        <v>149</v>
      </c>
      <c r="AT171" s="137" t="s">
        <v>144</v>
      </c>
      <c r="AU171" s="137" t="s">
        <v>143</v>
      </c>
      <c r="AY171" s="15" t="s">
        <v>141</v>
      </c>
      <c r="BE171" s="138">
        <f t="shared" si="14"/>
        <v>0</v>
      </c>
      <c r="BF171" s="138">
        <f t="shared" si="15"/>
        <v>835338.4</v>
      </c>
      <c r="BG171" s="138">
        <f t="shared" si="16"/>
        <v>0</v>
      </c>
      <c r="BH171" s="138">
        <f t="shared" si="17"/>
        <v>0</v>
      </c>
      <c r="BI171" s="138">
        <f t="shared" si="18"/>
        <v>0</v>
      </c>
      <c r="BJ171" s="15" t="s">
        <v>143</v>
      </c>
      <c r="BK171" s="138">
        <f t="shared" si="19"/>
        <v>835338.4</v>
      </c>
      <c r="BL171" s="15" t="s">
        <v>149</v>
      </c>
      <c r="BM171" s="137" t="s">
        <v>239</v>
      </c>
    </row>
    <row r="172" spans="2:65" s="1" customFormat="1" ht="16.5" customHeight="1">
      <c r="B172" s="126"/>
      <c r="C172" s="127" t="s">
        <v>240</v>
      </c>
      <c r="D172" s="127" t="s">
        <v>144</v>
      </c>
      <c r="E172" s="128" t="s">
        <v>241</v>
      </c>
      <c r="F172" s="129" t="s">
        <v>242</v>
      </c>
      <c r="G172" s="130" t="s">
        <v>157</v>
      </c>
      <c r="H172" s="131">
        <v>1301.76</v>
      </c>
      <c r="I172" s="132">
        <v>364</v>
      </c>
      <c r="J172" s="132">
        <f t="shared" si="10"/>
        <v>473840.64000000001</v>
      </c>
      <c r="K172" s="129" t="s">
        <v>148</v>
      </c>
      <c r="L172" s="27"/>
      <c r="M172" s="133" t="s">
        <v>1</v>
      </c>
      <c r="N172" s="134" t="s">
        <v>39</v>
      </c>
      <c r="O172" s="135">
        <v>0.247</v>
      </c>
      <c r="P172" s="135">
        <f t="shared" si="11"/>
        <v>321.53471999999999</v>
      </c>
      <c r="Q172" s="135">
        <v>2.6900000000000001E-3</v>
      </c>
      <c r="R172" s="135">
        <f t="shared" si="12"/>
        <v>3.5017344000000001</v>
      </c>
      <c r="S172" s="135">
        <v>0</v>
      </c>
      <c r="T172" s="136">
        <f t="shared" si="13"/>
        <v>0</v>
      </c>
      <c r="AR172" s="137" t="s">
        <v>149</v>
      </c>
      <c r="AT172" s="137" t="s">
        <v>144</v>
      </c>
      <c r="AU172" s="137" t="s">
        <v>143</v>
      </c>
      <c r="AY172" s="15" t="s">
        <v>141</v>
      </c>
      <c r="BE172" s="138">
        <f t="shared" si="14"/>
        <v>0</v>
      </c>
      <c r="BF172" s="138">
        <f t="shared" si="15"/>
        <v>473840.64000000001</v>
      </c>
      <c r="BG172" s="138">
        <f t="shared" si="16"/>
        <v>0</v>
      </c>
      <c r="BH172" s="138">
        <f t="shared" si="17"/>
        <v>0</v>
      </c>
      <c r="BI172" s="138">
        <f t="shared" si="18"/>
        <v>0</v>
      </c>
      <c r="BJ172" s="15" t="s">
        <v>143</v>
      </c>
      <c r="BK172" s="138">
        <f t="shared" si="19"/>
        <v>473840.64000000001</v>
      </c>
      <c r="BL172" s="15" t="s">
        <v>149</v>
      </c>
      <c r="BM172" s="137" t="s">
        <v>243</v>
      </c>
    </row>
    <row r="173" spans="2:65" s="1" customFormat="1" ht="16.5" customHeight="1">
      <c r="B173" s="126"/>
      <c r="C173" s="127" t="s">
        <v>244</v>
      </c>
      <c r="D173" s="127" t="s">
        <v>144</v>
      </c>
      <c r="E173" s="128" t="s">
        <v>245</v>
      </c>
      <c r="F173" s="129" t="s">
        <v>246</v>
      </c>
      <c r="G173" s="130" t="s">
        <v>157</v>
      </c>
      <c r="H173" s="131">
        <v>1301.76</v>
      </c>
      <c r="I173" s="132">
        <v>73.2</v>
      </c>
      <c r="J173" s="132">
        <f t="shared" si="10"/>
        <v>95288.83</v>
      </c>
      <c r="K173" s="129" t="s">
        <v>148</v>
      </c>
      <c r="L173" s="27"/>
      <c r="M173" s="133" t="s">
        <v>1</v>
      </c>
      <c r="N173" s="134" t="s">
        <v>39</v>
      </c>
      <c r="O173" s="135">
        <v>8.3000000000000004E-2</v>
      </c>
      <c r="P173" s="135">
        <f t="shared" si="11"/>
        <v>108.04608</v>
      </c>
      <c r="Q173" s="135">
        <v>0</v>
      </c>
      <c r="R173" s="135">
        <f t="shared" si="12"/>
        <v>0</v>
      </c>
      <c r="S173" s="135">
        <v>0</v>
      </c>
      <c r="T173" s="136">
        <f t="shared" si="13"/>
        <v>0</v>
      </c>
      <c r="AR173" s="137" t="s">
        <v>149</v>
      </c>
      <c r="AT173" s="137" t="s">
        <v>144</v>
      </c>
      <c r="AU173" s="137" t="s">
        <v>143</v>
      </c>
      <c r="AY173" s="15" t="s">
        <v>141</v>
      </c>
      <c r="BE173" s="138">
        <f t="shared" si="14"/>
        <v>0</v>
      </c>
      <c r="BF173" s="138">
        <f t="shared" si="15"/>
        <v>95288.83</v>
      </c>
      <c r="BG173" s="138">
        <f t="shared" si="16"/>
        <v>0</v>
      </c>
      <c r="BH173" s="138">
        <f t="shared" si="17"/>
        <v>0</v>
      </c>
      <c r="BI173" s="138">
        <f t="shared" si="18"/>
        <v>0</v>
      </c>
      <c r="BJ173" s="15" t="s">
        <v>143</v>
      </c>
      <c r="BK173" s="138">
        <f t="shared" si="19"/>
        <v>95288.83</v>
      </c>
      <c r="BL173" s="15" t="s">
        <v>149</v>
      </c>
      <c r="BM173" s="137" t="s">
        <v>247</v>
      </c>
    </row>
    <row r="174" spans="2:65" s="11" customFormat="1" ht="22.9" customHeight="1">
      <c r="B174" s="115"/>
      <c r="D174" s="116" t="s">
        <v>72</v>
      </c>
      <c r="E174" s="124" t="s">
        <v>151</v>
      </c>
      <c r="F174" s="124" t="s">
        <v>248</v>
      </c>
      <c r="J174" s="125">
        <f>BK174</f>
        <v>3464878.3800000004</v>
      </c>
      <c r="L174" s="115"/>
      <c r="M174" s="119"/>
      <c r="P174" s="120">
        <f>SUM(P175:P178)</f>
        <v>1786.2183479999999</v>
      </c>
      <c r="R174" s="120">
        <f>SUM(R175:R178)</f>
        <v>515.11201550999999</v>
      </c>
      <c r="T174" s="121">
        <f>SUM(T175:T178)</f>
        <v>0</v>
      </c>
      <c r="AR174" s="116" t="s">
        <v>81</v>
      </c>
      <c r="AT174" s="122" t="s">
        <v>72</v>
      </c>
      <c r="AU174" s="122" t="s">
        <v>81</v>
      </c>
      <c r="AY174" s="116" t="s">
        <v>141</v>
      </c>
      <c r="BK174" s="123">
        <f>SUM(BK175:BK178)</f>
        <v>3464878.3800000004</v>
      </c>
    </row>
    <row r="175" spans="2:65" s="1" customFormat="1" ht="24.2" customHeight="1">
      <c r="B175" s="126"/>
      <c r="C175" s="127" t="s">
        <v>249</v>
      </c>
      <c r="D175" s="127" t="s">
        <v>144</v>
      </c>
      <c r="E175" s="128" t="s">
        <v>250</v>
      </c>
      <c r="F175" s="129" t="s">
        <v>251</v>
      </c>
      <c r="G175" s="130" t="s">
        <v>157</v>
      </c>
      <c r="H175" s="131">
        <v>1034.133</v>
      </c>
      <c r="I175" s="132">
        <v>1349.2</v>
      </c>
      <c r="J175" s="132">
        <f>ROUND(I175*H175,2)</f>
        <v>1395252.24</v>
      </c>
      <c r="K175" s="129" t="s">
        <v>1</v>
      </c>
      <c r="L175" s="27"/>
      <c r="M175" s="133" t="s">
        <v>1</v>
      </c>
      <c r="N175" s="134" t="s">
        <v>39</v>
      </c>
      <c r="O175" s="135">
        <v>0.69</v>
      </c>
      <c r="P175" s="135">
        <f>O175*H175</f>
        <v>713.55176999999992</v>
      </c>
      <c r="Q175" s="135">
        <v>0.22158</v>
      </c>
      <c r="R175" s="135">
        <f>Q175*H175</f>
        <v>229.14319014</v>
      </c>
      <c r="S175" s="135">
        <v>0</v>
      </c>
      <c r="T175" s="136">
        <f>S175*H175</f>
        <v>0</v>
      </c>
      <c r="AR175" s="137" t="s">
        <v>149</v>
      </c>
      <c r="AT175" s="137" t="s">
        <v>144</v>
      </c>
      <c r="AU175" s="137" t="s">
        <v>143</v>
      </c>
      <c r="AY175" s="15" t="s">
        <v>141</v>
      </c>
      <c r="BE175" s="138">
        <f>IF(N175="základní",J175,0)</f>
        <v>0</v>
      </c>
      <c r="BF175" s="138">
        <f>IF(N175="snížená",J175,0)</f>
        <v>1395252.24</v>
      </c>
      <c r="BG175" s="138">
        <f>IF(N175="zákl. přenesená",J175,0)</f>
        <v>0</v>
      </c>
      <c r="BH175" s="138">
        <f>IF(N175="sníž. přenesená",J175,0)</f>
        <v>0</v>
      </c>
      <c r="BI175" s="138">
        <f>IF(N175="nulová",J175,0)</f>
        <v>0</v>
      </c>
      <c r="BJ175" s="15" t="s">
        <v>143</v>
      </c>
      <c r="BK175" s="138">
        <f>ROUND(I175*H175,2)</f>
        <v>1395252.24</v>
      </c>
      <c r="BL175" s="15" t="s">
        <v>149</v>
      </c>
      <c r="BM175" s="137" t="s">
        <v>252</v>
      </c>
    </row>
    <row r="176" spans="2:65" s="1" customFormat="1" ht="24.2" customHeight="1">
      <c r="B176" s="126"/>
      <c r="C176" s="127" t="s">
        <v>253</v>
      </c>
      <c r="D176" s="127" t="s">
        <v>144</v>
      </c>
      <c r="E176" s="128" t="s">
        <v>254</v>
      </c>
      <c r="F176" s="129" t="s">
        <v>255</v>
      </c>
      <c r="G176" s="130" t="s">
        <v>157</v>
      </c>
      <c r="H176" s="131">
        <v>877.38</v>
      </c>
      <c r="I176" s="132">
        <v>1760</v>
      </c>
      <c r="J176" s="132">
        <f>ROUND(I176*H176,2)</f>
        <v>1544188.8</v>
      </c>
      <c r="K176" s="129" t="s">
        <v>148</v>
      </c>
      <c r="L176" s="27"/>
      <c r="M176" s="133" t="s">
        <v>1</v>
      </c>
      <c r="N176" s="134" t="s">
        <v>39</v>
      </c>
      <c r="O176" s="135">
        <v>0.83</v>
      </c>
      <c r="P176" s="135">
        <f>O176*H176</f>
        <v>728.22539999999992</v>
      </c>
      <c r="Q176" s="135">
        <v>0.25933</v>
      </c>
      <c r="R176" s="135">
        <f>Q176*H176</f>
        <v>227.53095540000001</v>
      </c>
      <c r="S176" s="135">
        <v>0</v>
      </c>
      <c r="T176" s="136">
        <f>S176*H176</f>
        <v>0</v>
      </c>
      <c r="AR176" s="137" t="s">
        <v>149</v>
      </c>
      <c r="AT176" s="137" t="s">
        <v>144</v>
      </c>
      <c r="AU176" s="137" t="s">
        <v>143</v>
      </c>
      <c r="AY176" s="15" t="s">
        <v>141</v>
      </c>
      <c r="BE176" s="138">
        <f>IF(N176="základní",J176,0)</f>
        <v>0</v>
      </c>
      <c r="BF176" s="138">
        <f>IF(N176="snížená",J176,0)</f>
        <v>1544188.8</v>
      </c>
      <c r="BG176" s="138">
        <f>IF(N176="zákl. přenesená",J176,0)</f>
        <v>0</v>
      </c>
      <c r="BH176" s="138">
        <f>IF(N176="sníž. přenesená",J176,0)</f>
        <v>0</v>
      </c>
      <c r="BI176" s="138">
        <f>IF(N176="nulová",J176,0)</f>
        <v>0</v>
      </c>
      <c r="BJ176" s="15" t="s">
        <v>143</v>
      </c>
      <c r="BK176" s="138">
        <f>ROUND(I176*H176,2)</f>
        <v>1544188.8</v>
      </c>
      <c r="BL176" s="15" t="s">
        <v>149</v>
      </c>
      <c r="BM176" s="137" t="s">
        <v>256</v>
      </c>
    </row>
    <row r="177" spans="2:65" s="1" customFormat="1" ht="24.2" customHeight="1">
      <c r="B177" s="126"/>
      <c r="C177" s="127" t="s">
        <v>257</v>
      </c>
      <c r="D177" s="127" t="s">
        <v>144</v>
      </c>
      <c r="E177" s="128" t="s">
        <v>258</v>
      </c>
      <c r="F177" s="129" t="s">
        <v>259</v>
      </c>
      <c r="G177" s="130" t="s">
        <v>157</v>
      </c>
      <c r="H177" s="131">
        <v>243.78899999999999</v>
      </c>
      <c r="I177" s="132">
        <v>798.56</v>
      </c>
      <c r="J177" s="132">
        <f>ROUND(I177*H177,2)</f>
        <v>194680.14</v>
      </c>
      <c r="K177" s="129" t="s">
        <v>1</v>
      </c>
      <c r="L177" s="27"/>
      <c r="M177" s="133" t="s">
        <v>1</v>
      </c>
      <c r="N177" s="134" t="s">
        <v>39</v>
      </c>
      <c r="O177" s="135">
        <v>0.52200000000000002</v>
      </c>
      <c r="P177" s="135">
        <f>O177*H177</f>
        <v>127.257858</v>
      </c>
      <c r="Q177" s="135">
        <v>6.6379999999999995E-2</v>
      </c>
      <c r="R177" s="135">
        <f>Q177*H177</f>
        <v>16.182713819999996</v>
      </c>
      <c r="S177" s="135">
        <v>0</v>
      </c>
      <c r="T177" s="136">
        <f>S177*H177</f>
        <v>0</v>
      </c>
      <c r="AR177" s="137" t="s">
        <v>149</v>
      </c>
      <c r="AT177" s="137" t="s">
        <v>144</v>
      </c>
      <c r="AU177" s="137" t="s">
        <v>143</v>
      </c>
      <c r="AY177" s="15" t="s">
        <v>141</v>
      </c>
      <c r="BE177" s="138">
        <f>IF(N177="základní",J177,0)</f>
        <v>0</v>
      </c>
      <c r="BF177" s="138">
        <f>IF(N177="snížená",J177,0)</f>
        <v>194680.14</v>
      </c>
      <c r="BG177" s="138">
        <f>IF(N177="zákl. přenesená",J177,0)</f>
        <v>0</v>
      </c>
      <c r="BH177" s="138">
        <f>IF(N177="sníž. přenesená",J177,0)</f>
        <v>0</v>
      </c>
      <c r="BI177" s="138">
        <f>IF(N177="nulová",J177,0)</f>
        <v>0</v>
      </c>
      <c r="BJ177" s="15" t="s">
        <v>143</v>
      </c>
      <c r="BK177" s="138">
        <f>ROUND(I177*H177,2)</f>
        <v>194680.14</v>
      </c>
      <c r="BL177" s="15" t="s">
        <v>149</v>
      </c>
      <c r="BM177" s="137" t="s">
        <v>260</v>
      </c>
    </row>
    <row r="178" spans="2:65" s="1" customFormat="1" ht="24.2" customHeight="1">
      <c r="B178" s="126"/>
      <c r="C178" s="127" t="s">
        <v>261</v>
      </c>
      <c r="D178" s="127" t="s">
        <v>144</v>
      </c>
      <c r="E178" s="128" t="s">
        <v>262</v>
      </c>
      <c r="F178" s="129" t="s">
        <v>263</v>
      </c>
      <c r="G178" s="130" t="s">
        <v>157</v>
      </c>
      <c r="H178" s="131">
        <v>382.36500000000001</v>
      </c>
      <c r="I178" s="132">
        <v>865.03</v>
      </c>
      <c r="J178" s="132">
        <f>ROUND(I178*H178,2)</f>
        <v>330757.2</v>
      </c>
      <c r="K178" s="129" t="s">
        <v>1</v>
      </c>
      <c r="L178" s="27"/>
      <c r="M178" s="133" t="s">
        <v>1</v>
      </c>
      <c r="N178" s="134" t="s">
        <v>39</v>
      </c>
      <c r="O178" s="135">
        <v>0.56799999999999995</v>
      </c>
      <c r="P178" s="135">
        <f>O178*H178</f>
        <v>217.18331999999998</v>
      </c>
      <c r="Q178" s="135">
        <v>0.11051</v>
      </c>
      <c r="R178" s="135">
        <f>Q178*H178</f>
        <v>42.255156149999998</v>
      </c>
      <c r="S178" s="135">
        <v>0</v>
      </c>
      <c r="T178" s="136">
        <f>S178*H178</f>
        <v>0</v>
      </c>
      <c r="AR178" s="137" t="s">
        <v>149</v>
      </c>
      <c r="AT178" s="137" t="s">
        <v>144</v>
      </c>
      <c r="AU178" s="137" t="s">
        <v>143</v>
      </c>
      <c r="AY178" s="15" t="s">
        <v>141</v>
      </c>
      <c r="BE178" s="138">
        <f>IF(N178="základní",J178,0)</f>
        <v>0</v>
      </c>
      <c r="BF178" s="138">
        <f>IF(N178="snížená",J178,0)</f>
        <v>330757.2</v>
      </c>
      <c r="BG178" s="138">
        <f>IF(N178="zákl. přenesená",J178,0)</f>
        <v>0</v>
      </c>
      <c r="BH178" s="138">
        <f>IF(N178="sníž. přenesená",J178,0)</f>
        <v>0</v>
      </c>
      <c r="BI178" s="138">
        <f>IF(N178="nulová",J178,0)</f>
        <v>0</v>
      </c>
      <c r="BJ178" s="15" t="s">
        <v>143</v>
      </c>
      <c r="BK178" s="138">
        <f>ROUND(I178*H178,2)</f>
        <v>330757.2</v>
      </c>
      <c r="BL178" s="15" t="s">
        <v>149</v>
      </c>
      <c r="BM178" s="137" t="s">
        <v>264</v>
      </c>
    </row>
    <row r="179" spans="2:65" s="11" customFormat="1" ht="22.9" customHeight="1">
      <c r="B179" s="115"/>
      <c r="D179" s="116" t="s">
        <v>72</v>
      </c>
      <c r="E179" s="124" t="s">
        <v>149</v>
      </c>
      <c r="F179" s="124" t="s">
        <v>269</v>
      </c>
      <c r="J179" s="125">
        <f>BK179</f>
        <v>4151262.02</v>
      </c>
      <c r="L179" s="115"/>
      <c r="M179" s="119"/>
      <c r="P179" s="120">
        <f>SUM(P180:P194)</f>
        <v>2156.5823700000001</v>
      </c>
      <c r="R179" s="120">
        <f>SUM(R180:R194)</f>
        <v>595.13087286999996</v>
      </c>
      <c r="T179" s="121">
        <f>SUM(T180:T194)</f>
        <v>0</v>
      </c>
      <c r="AR179" s="116" t="s">
        <v>81</v>
      </c>
      <c r="AT179" s="122" t="s">
        <v>72</v>
      </c>
      <c r="AU179" s="122" t="s">
        <v>81</v>
      </c>
      <c r="AY179" s="116" t="s">
        <v>141</v>
      </c>
      <c r="BK179" s="123">
        <f>SUM(BK180:BK194)</f>
        <v>4151262.02</v>
      </c>
    </row>
    <row r="180" spans="2:65" s="1" customFormat="1" ht="16.5" customHeight="1">
      <c r="B180" s="126"/>
      <c r="C180" s="127" t="s">
        <v>270</v>
      </c>
      <c r="D180" s="127" t="s">
        <v>144</v>
      </c>
      <c r="E180" s="128" t="s">
        <v>271</v>
      </c>
      <c r="F180" s="129" t="s">
        <v>272</v>
      </c>
      <c r="G180" s="130" t="s">
        <v>162</v>
      </c>
      <c r="H180" s="131">
        <v>169.34800000000001</v>
      </c>
      <c r="I180" s="132">
        <v>4020</v>
      </c>
      <c r="J180" s="132">
        <f t="shared" ref="J180:J194" si="20">ROUND(I180*H180,2)</f>
        <v>680778.96</v>
      </c>
      <c r="K180" s="129" t="s">
        <v>148</v>
      </c>
      <c r="L180" s="27"/>
      <c r="M180" s="133" t="s">
        <v>1</v>
      </c>
      <c r="N180" s="134" t="s">
        <v>39</v>
      </c>
      <c r="O180" s="135">
        <v>1.224</v>
      </c>
      <c r="P180" s="135">
        <f t="shared" ref="P180:P194" si="21">O180*H180</f>
        <v>207.28195200000002</v>
      </c>
      <c r="Q180" s="135">
        <v>2.45343</v>
      </c>
      <c r="R180" s="135">
        <f t="shared" ref="R180:R194" si="22">Q180*H180</f>
        <v>415.48346364000002</v>
      </c>
      <c r="S180" s="135">
        <v>0</v>
      </c>
      <c r="T180" s="136">
        <f t="shared" ref="T180:T194" si="23">S180*H180</f>
        <v>0</v>
      </c>
      <c r="AR180" s="137" t="s">
        <v>149</v>
      </c>
      <c r="AT180" s="137" t="s">
        <v>144</v>
      </c>
      <c r="AU180" s="137" t="s">
        <v>143</v>
      </c>
      <c r="AY180" s="15" t="s">
        <v>141</v>
      </c>
      <c r="BE180" s="138">
        <f t="shared" ref="BE180:BE194" si="24">IF(N180="základní",J180,0)</f>
        <v>0</v>
      </c>
      <c r="BF180" s="138">
        <f t="shared" ref="BF180:BF194" si="25">IF(N180="snížená",J180,0)</f>
        <v>680778.96</v>
      </c>
      <c r="BG180" s="138">
        <f t="shared" ref="BG180:BG194" si="26">IF(N180="zákl. přenesená",J180,0)</f>
        <v>0</v>
      </c>
      <c r="BH180" s="138">
        <f t="shared" ref="BH180:BH194" si="27">IF(N180="sníž. přenesená",J180,0)</f>
        <v>0</v>
      </c>
      <c r="BI180" s="138">
        <f t="shared" ref="BI180:BI194" si="28">IF(N180="nulová",J180,0)</f>
        <v>0</v>
      </c>
      <c r="BJ180" s="15" t="s">
        <v>143</v>
      </c>
      <c r="BK180" s="138">
        <f t="shared" ref="BK180:BK194" si="29">ROUND(I180*H180,2)</f>
        <v>680778.96</v>
      </c>
      <c r="BL180" s="15" t="s">
        <v>149</v>
      </c>
      <c r="BM180" s="137" t="s">
        <v>273</v>
      </c>
    </row>
    <row r="181" spans="2:65" s="1" customFormat="1" ht="24.2" customHeight="1">
      <c r="B181" s="126"/>
      <c r="C181" s="127" t="s">
        <v>274</v>
      </c>
      <c r="D181" s="127" t="s">
        <v>144</v>
      </c>
      <c r="E181" s="128" t="s">
        <v>275</v>
      </c>
      <c r="F181" s="129" t="s">
        <v>276</v>
      </c>
      <c r="G181" s="130" t="s">
        <v>157</v>
      </c>
      <c r="H181" s="131">
        <v>717.346</v>
      </c>
      <c r="I181" s="132">
        <v>522</v>
      </c>
      <c r="J181" s="132">
        <f t="shared" si="20"/>
        <v>374454.61</v>
      </c>
      <c r="K181" s="129" t="s">
        <v>148</v>
      </c>
      <c r="L181" s="27"/>
      <c r="M181" s="133" t="s">
        <v>1</v>
      </c>
      <c r="N181" s="134" t="s">
        <v>39</v>
      </c>
      <c r="O181" s="135">
        <v>0.377</v>
      </c>
      <c r="P181" s="135">
        <f t="shared" si="21"/>
        <v>270.43944199999999</v>
      </c>
      <c r="Q181" s="135">
        <v>5.3299999999999997E-3</v>
      </c>
      <c r="R181" s="135">
        <f t="shared" si="22"/>
        <v>3.8234541799999997</v>
      </c>
      <c r="S181" s="135">
        <v>0</v>
      </c>
      <c r="T181" s="136">
        <f t="shared" si="23"/>
        <v>0</v>
      </c>
      <c r="AR181" s="137" t="s">
        <v>149</v>
      </c>
      <c r="AT181" s="137" t="s">
        <v>144</v>
      </c>
      <c r="AU181" s="137" t="s">
        <v>143</v>
      </c>
      <c r="AY181" s="15" t="s">
        <v>141</v>
      </c>
      <c r="BE181" s="138">
        <f t="shared" si="24"/>
        <v>0</v>
      </c>
      <c r="BF181" s="138">
        <f t="shared" si="25"/>
        <v>374454.61</v>
      </c>
      <c r="BG181" s="138">
        <f t="shared" si="26"/>
        <v>0</v>
      </c>
      <c r="BH181" s="138">
        <f t="shared" si="27"/>
        <v>0</v>
      </c>
      <c r="BI181" s="138">
        <f t="shared" si="28"/>
        <v>0</v>
      </c>
      <c r="BJ181" s="15" t="s">
        <v>143</v>
      </c>
      <c r="BK181" s="138">
        <f t="shared" si="29"/>
        <v>374454.61</v>
      </c>
      <c r="BL181" s="15" t="s">
        <v>149</v>
      </c>
      <c r="BM181" s="137" t="s">
        <v>277</v>
      </c>
    </row>
    <row r="182" spans="2:65" s="1" customFormat="1" ht="24.2" customHeight="1">
      <c r="B182" s="126"/>
      <c r="C182" s="127" t="s">
        <v>278</v>
      </c>
      <c r="D182" s="127" t="s">
        <v>144</v>
      </c>
      <c r="E182" s="128" t="s">
        <v>279</v>
      </c>
      <c r="F182" s="129" t="s">
        <v>280</v>
      </c>
      <c r="G182" s="130" t="s">
        <v>157</v>
      </c>
      <c r="H182" s="131">
        <v>717.346</v>
      </c>
      <c r="I182" s="132">
        <v>132</v>
      </c>
      <c r="J182" s="132">
        <f t="shared" si="20"/>
        <v>94689.67</v>
      </c>
      <c r="K182" s="129" t="s">
        <v>148</v>
      </c>
      <c r="L182" s="27"/>
      <c r="M182" s="133" t="s">
        <v>1</v>
      </c>
      <c r="N182" s="134" t="s">
        <v>39</v>
      </c>
      <c r="O182" s="135">
        <v>0.22500000000000001</v>
      </c>
      <c r="P182" s="135">
        <f t="shared" si="21"/>
        <v>161.40285</v>
      </c>
      <c r="Q182" s="135">
        <v>0</v>
      </c>
      <c r="R182" s="135">
        <f t="shared" si="22"/>
        <v>0</v>
      </c>
      <c r="S182" s="135">
        <v>0</v>
      </c>
      <c r="T182" s="136">
        <f t="shared" si="23"/>
        <v>0</v>
      </c>
      <c r="AR182" s="137" t="s">
        <v>149</v>
      </c>
      <c r="AT182" s="137" t="s">
        <v>144</v>
      </c>
      <c r="AU182" s="137" t="s">
        <v>143</v>
      </c>
      <c r="AY182" s="15" t="s">
        <v>141</v>
      </c>
      <c r="BE182" s="138">
        <f t="shared" si="24"/>
        <v>0</v>
      </c>
      <c r="BF182" s="138">
        <f t="shared" si="25"/>
        <v>94689.67</v>
      </c>
      <c r="BG182" s="138">
        <f t="shared" si="26"/>
        <v>0</v>
      </c>
      <c r="BH182" s="138">
        <f t="shared" si="27"/>
        <v>0</v>
      </c>
      <c r="BI182" s="138">
        <f t="shared" si="28"/>
        <v>0</v>
      </c>
      <c r="BJ182" s="15" t="s">
        <v>143</v>
      </c>
      <c r="BK182" s="138">
        <f t="shared" si="29"/>
        <v>94689.67</v>
      </c>
      <c r="BL182" s="15" t="s">
        <v>149</v>
      </c>
      <c r="BM182" s="137" t="s">
        <v>281</v>
      </c>
    </row>
    <row r="183" spans="2:65" s="1" customFormat="1" ht="24.2" customHeight="1">
      <c r="B183" s="126"/>
      <c r="C183" s="127" t="s">
        <v>282</v>
      </c>
      <c r="D183" s="127" t="s">
        <v>144</v>
      </c>
      <c r="E183" s="128" t="s">
        <v>283</v>
      </c>
      <c r="F183" s="129" t="s">
        <v>284</v>
      </c>
      <c r="G183" s="130" t="s">
        <v>157</v>
      </c>
      <c r="H183" s="131">
        <v>28.416</v>
      </c>
      <c r="I183" s="132">
        <v>170</v>
      </c>
      <c r="J183" s="132">
        <f t="shared" si="20"/>
        <v>4830.72</v>
      </c>
      <c r="K183" s="129" t="s">
        <v>148</v>
      </c>
      <c r="L183" s="27"/>
      <c r="M183" s="133" t="s">
        <v>1</v>
      </c>
      <c r="N183" s="134" t="s">
        <v>39</v>
      </c>
      <c r="O183" s="135">
        <v>0.16900000000000001</v>
      </c>
      <c r="P183" s="135">
        <f t="shared" si="21"/>
        <v>4.8023040000000004</v>
      </c>
      <c r="Q183" s="135">
        <v>8.0999999999999996E-4</v>
      </c>
      <c r="R183" s="135">
        <f t="shared" si="22"/>
        <v>2.301696E-2</v>
      </c>
      <c r="S183" s="135">
        <v>0</v>
      </c>
      <c r="T183" s="136">
        <f t="shared" si="23"/>
        <v>0</v>
      </c>
      <c r="AR183" s="137" t="s">
        <v>149</v>
      </c>
      <c r="AT183" s="137" t="s">
        <v>144</v>
      </c>
      <c r="AU183" s="137" t="s">
        <v>143</v>
      </c>
      <c r="AY183" s="15" t="s">
        <v>141</v>
      </c>
      <c r="BE183" s="138">
        <f t="shared" si="24"/>
        <v>0</v>
      </c>
      <c r="BF183" s="138">
        <f t="shared" si="25"/>
        <v>4830.72</v>
      </c>
      <c r="BG183" s="138">
        <f t="shared" si="26"/>
        <v>0</v>
      </c>
      <c r="BH183" s="138">
        <f t="shared" si="27"/>
        <v>0</v>
      </c>
      <c r="BI183" s="138">
        <f t="shared" si="28"/>
        <v>0</v>
      </c>
      <c r="BJ183" s="15" t="s">
        <v>143</v>
      </c>
      <c r="BK183" s="138">
        <f t="shared" si="29"/>
        <v>4830.72</v>
      </c>
      <c r="BL183" s="15" t="s">
        <v>149</v>
      </c>
      <c r="BM183" s="137" t="s">
        <v>285</v>
      </c>
    </row>
    <row r="184" spans="2:65" s="1" customFormat="1" ht="24.2" customHeight="1">
      <c r="B184" s="126"/>
      <c r="C184" s="127" t="s">
        <v>286</v>
      </c>
      <c r="D184" s="127" t="s">
        <v>144</v>
      </c>
      <c r="E184" s="128" t="s">
        <v>287</v>
      </c>
      <c r="F184" s="129" t="s">
        <v>288</v>
      </c>
      <c r="G184" s="130" t="s">
        <v>157</v>
      </c>
      <c r="H184" s="131">
        <v>28.416</v>
      </c>
      <c r="I184" s="132">
        <v>50.6</v>
      </c>
      <c r="J184" s="132">
        <f t="shared" si="20"/>
        <v>1437.85</v>
      </c>
      <c r="K184" s="129" t="s">
        <v>148</v>
      </c>
      <c r="L184" s="27"/>
      <c r="M184" s="133" t="s">
        <v>1</v>
      </c>
      <c r="N184" s="134" t="s">
        <v>39</v>
      </c>
      <c r="O184" s="135">
        <v>0.08</v>
      </c>
      <c r="P184" s="135">
        <f t="shared" si="21"/>
        <v>2.2732800000000002</v>
      </c>
      <c r="Q184" s="135">
        <v>0</v>
      </c>
      <c r="R184" s="135">
        <f t="shared" si="22"/>
        <v>0</v>
      </c>
      <c r="S184" s="135">
        <v>0</v>
      </c>
      <c r="T184" s="136">
        <f t="shared" si="23"/>
        <v>0</v>
      </c>
      <c r="AR184" s="137" t="s">
        <v>149</v>
      </c>
      <c r="AT184" s="137" t="s">
        <v>144</v>
      </c>
      <c r="AU184" s="137" t="s">
        <v>143</v>
      </c>
      <c r="AY184" s="15" t="s">
        <v>141</v>
      </c>
      <c r="BE184" s="138">
        <f t="shared" si="24"/>
        <v>0</v>
      </c>
      <c r="BF184" s="138">
        <f t="shared" si="25"/>
        <v>1437.85</v>
      </c>
      <c r="BG184" s="138">
        <f t="shared" si="26"/>
        <v>0</v>
      </c>
      <c r="BH184" s="138">
        <f t="shared" si="27"/>
        <v>0</v>
      </c>
      <c r="BI184" s="138">
        <f t="shared" si="28"/>
        <v>0</v>
      </c>
      <c r="BJ184" s="15" t="s">
        <v>143</v>
      </c>
      <c r="BK184" s="138">
        <f t="shared" si="29"/>
        <v>1437.85</v>
      </c>
      <c r="BL184" s="15" t="s">
        <v>149</v>
      </c>
      <c r="BM184" s="137" t="s">
        <v>289</v>
      </c>
    </row>
    <row r="185" spans="2:65" s="1" customFormat="1" ht="24.2" customHeight="1">
      <c r="B185" s="126"/>
      <c r="C185" s="127" t="s">
        <v>290</v>
      </c>
      <c r="D185" s="127" t="s">
        <v>144</v>
      </c>
      <c r="E185" s="128" t="s">
        <v>291</v>
      </c>
      <c r="F185" s="129" t="s">
        <v>292</v>
      </c>
      <c r="G185" s="130" t="s">
        <v>157</v>
      </c>
      <c r="H185" s="131">
        <v>688.93</v>
      </c>
      <c r="I185" s="132">
        <v>195</v>
      </c>
      <c r="J185" s="132">
        <f t="shared" si="20"/>
        <v>134341.35</v>
      </c>
      <c r="K185" s="129" t="s">
        <v>148</v>
      </c>
      <c r="L185" s="27"/>
      <c r="M185" s="133" t="s">
        <v>1</v>
      </c>
      <c r="N185" s="134" t="s">
        <v>39</v>
      </c>
      <c r="O185" s="135">
        <v>0.2</v>
      </c>
      <c r="P185" s="135">
        <f t="shared" si="21"/>
        <v>137.786</v>
      </c>
      <c r="Q185" s="135">
        <v>8.8000000000000003E-4</v>
      </c>
      <c r="R185" s="135">
        <f t="shared" si="22"/>
        <v>0.60625839999999998</v>
      </c>
      <c r="S185" s="135">
        <v>0</v>
      </c>
      <c r="T185" s="136">
        <f t="shared" si="23"/>
        <v>0</v>
      </c>
      <c r="AR185" s="137" t="s">
        <v>149</v>
      </c>
      <c r="AT185" s="137" t="s">
        <v>144</v>
      </c>
      <c r="AU185" s="137" t="s">
        <v>143</v>
      </c>
      <c r="AY185" s="15" t="s">
        <v>141</v>
      </c>
      <c r="BE185" s="138">
        <f t="shared" si="24"/>
        <v>0</v>
      </c>
      <c r="BF185" s="138">
        <f t="shared" si="25"/>
        <v>134341.35</v>
      </c>
      <c r="BG185" s="138">
        <f t="shared" si="26"/>
        <v>0</v>
      </c>
      <c r="BH185" s="138">
        <f t="shared" si="27"/>
        <v>0</v>
      </c>
      <c r="BI185" s="138">
        <f t="shared" si="28"/>
        <v>0</v>
      </c>
      <c r="BJ185" s="15" t="s">
        <v>143</v>
      </c>
      <c r="BK185" s="138">
        <f t="shared" si="29"/>
        <v>134341.35</v>
      </c>
      <c r="BL185" s="15" t="s">
        <v>149</v>
      </c>
      <c r="BM185" s="137" t="s">
        <v>293</v>
      </c>
    </row>
    <row r="186" spans="2:65" s="1" customFormat="1" ht="24.2" customHeight="1">
      <c r="B186" s="126"/>
      <c r="C186" s="127" t="s">
        <v>294</v>
      </c>
      <c r="D186" s="127" t="s">
        <v>144</v>
      </c>
      <c r="E186" s="128" t="s">
        <v>295</v>
      </c>
      <c r="F186" s="129" t="s">
        <v>296</v>
      </c>
      <c r="G186" s="130" t="s">
        <v>157</v>
      </c>
      <c r="H186" s="131">
        <v>142.935</v>
      </c>
      <c r="I186" s="132">
        <v>61.3</v>
      </c>
      <c r="J186" s="132">
        <f t="shared" si="20"/>
        <v>8761.92</v>
      </c>
      <c r="K186" s="129" t="s">
        <v>148</v>
      </c>
      <c r="L186" s="27"/>
      <c r="M186" s="133" t="s">
        <v>1</v>
      </c>
      <c r="N186" s="134" t="s">
        <v>39</v>
      </c>
      <c r="O186" s="135">
        <v>0.105</v>
      </c>
      <c r="P186" s="135">
        <f t="shared" si="21"/>
        <v>15.008175</v>
      </c>
      <c r="Q186" s="135">
        <v>0</v>
      </c>
      <c r="R186" s="135">
        <f t="shared" si="22"/>
        <v>0</v>
      </c>
      <c r="S186" s="135">
        <v>0</v>
      </c>
      <c r="T186" s="136">
        <f t="shared" si="23"/>
        <v>0</v>
      </c>
      <c r="AR186" s="137" t="s">
        <v>149</v>
      </c>
      <c r="AT186" s="137" t="s">
        <v>144</v>
      </c>
      <c r="AU186" s="137" t="s">
        <v>143</v>
      </c>
      <c r="AY186" s="15" t="s">
        <v>141</v>
      </c>
      <c r="BE186" s="138">
        <f t="shared" si="24"/>
        <v>0</v>
      </c>
      <c r="BF186" s="138">
        <f t="shared" si="25"/>
        <v>8761.92</v>
      </c>
      <c r="BG186" s="138">
        <f t="shared" si="26"/>
        <v>0</v>
      </c>
      <c r="BH186" s="138">
        <f t="shared" si="27"/>
        <v>0</v>
      </c>
      <c r="BI186" s="138">
        <f t="shared" si="28"/>
        <v>0</v>
      </c>
      <c r="BJ186" s="15" t="s">
        <v>143</v>
      </c>
      <c r="BK186" s="138">
        <f t="shared" si="29"/>
        <v>8761.92</v>
      </c>
      <c r="BL186" s="15" t="s">
        <v>149</v>
      </c>
      <c r="BM186" s="137" t="s">
        <v>297</v>
      </c>
    </row>
    <row r="187" spans="2:65" s="1" customFormat="1" ht="16.5" customHeight="1">
      <c r="B187" s="126"/>
      <c r="C187" s="127" t="s">
        <v>298</v>
      </c>
      <c r="D187" s="127" t="s">
        <v>144</v>
      </c>
      <c r="E187" s="128" t="s">
        <v>299</v>
      </c>
      <c r="F187" s="129" t="s">
        <v>300</v>
      </c>
      <c r="G187" s="130" t="s">
        <v>179</v>
      </c>
      <c r="H187" s="131">
        <v>19.488</v>
      </c>
      <c r="I187" s="132">
        <v>62900</v>
      </c>
      <c r="J187" s="132">
        <f t="shared" si="20"/>
        <v>1225795.2</v>
      </c>
      <c r="K187" s="129" t="s">
        <v>148</v>
      </c>
      <c r="L187" s="27"/>
      <c r="M187" s="133" t="s">
        <v>1</v>
      </c>
      <c r="N187" s="134" t="s">
        <v>39</v>
      </c>
      <c r="O187" s="135">
        <v>27.83</v>
      </c>
      <c r="P187" s="135">
        <f t="shared" si="21"/>
        <v>542.3510399999999</v>
      </c>
      <c r="Q187" s="135">
        <v>1.05555</v>
      </c>
      <c r="R187" s="135">
        <f t="shared" si="22"/>
        <v>20.570558399999999</v>
      </c>
      <c r="S187" s="135">
        <v>0</v>
      </c>
      <c r="T187" s="136">
        <f t="shared" si="23"/>
        <v>0</v>
      </c>
      <c r="AR187" s="137" t="s">
        <v>149</v>
      </c>
      <c r="AT187" s="137" t="s">
        <v>144</v>
      </c>
      <c r="AU187" s="137" t="s">
        <v>143</v>
      </c>
      <c r="AY187" s="15" t="s">
        <v>141</v>
      </c>
      <c r="BE187" s="138">
        <f t="shared" si="24"/>
        <v>0</v>
      </c>
      <c r="BF187" s="138">
        <f t="shared" si="25"/>
        <v>1225795.2</v>
      </c>
      <c r="BG187" s="138">
        <f t="shared" si="26"/>
        <v>0</v>
      </c>
      <c r="BH187" s="138">
        <f t="shared" si="27"/>
        <v>0</v>
      </c>
      <c r="BI187" s="138">
        <f t="shared" si="28"/>
        <v>0</v>
      </c>
      <c r="BJ187" s="15" t="s">
        <v>143</v>
      </c>
      <c r="BK187" s="138">
        <f t="shared" si="29"/>
        <v>1225795.2</v>
      </c>
      <c r="BL187" s="15" t="s">
        <v>149</v>
      </c>
      <c r="BM187" s="137" t="s">
        <v>301</v>
      </c>
    </row>
    <row r="188" spans="2:65" s="1" customFormat="1" ht="16.5" customHeight="1">
      <c r="B188" s="126"/>
      <c r="C188" s="127" t="s">
        <v>302</v>
      </c>
      <c r="D188" s="127" t="s">
        <v>144</v>
      </c>
      <c r="E188" s="128" t="s">
        <v>303</v>
      </c>
      <c r="F188" s="129" t="s">
        <v>304</v>
      </c>
      <c r="G188" s="130" t="s">
        <v>179</v>
      </c>
      <c r="H188" s="131">
        <v>7.6999999999999999E-2</v>
      </c>
      <c r="I188" s="132">
        <v>49900</v>
      </c>
      <c r="J188" s="132">
        <f t="shared" si="20"/>
        <v>3842.3</v>
      </c>
      <c r="K188" s="129" t="s">
        <v>148</v>
      </c>
      <c r="L188" s="27"/>
      <c r="M188" s="133" t="s">
        <v>1</v>
      </c>
      <c r="N188" s="134" t="s">
        <v>39</v>
      </c>
      <c r="O188" s="135">
        <v>15.211</v>
      </c>
      <c r="P188" s="135">
        <f t="shared" si="21"/>
        <v>1.1712469999999999</v>
      </c>
      <c r="Q188" s="135">
        <v>1.06277</v>
      </c>
      <c r="R188" s="135">
        <f t="shared" si="22"/>
        <v>8.1833290000000003E-2</v>
      </c>
      <c r="S188" s="135">
        <v>0</v>
      </c>
      <c r="T188" s="136">
        <f t="shared" si="23"/>
        <v>0</v>
      </c>
      <c r="AR188" s="137" t="s">
        <v>149</v>
      </c>
      <c r="AT188" s="137" t="s">
        <v>144</v>
      </c>
      <c r="AU188" s="137" t="s">
        <v>143</v>
      </c>
      <c r="AY188" s="15" t="s">
        <v>141</v>
      </c>
      <c r="BE188" s="138">
        <f t="shared" si="24"/>
        <v>0</v>
      </c>
      <c r="BF188" s="138">
        <f t="shared" si="25"/>
        <v>3842.3</v>
      </c>
      <c r="BG188" s="138">
        <f t="shared" si="26"/>
        <v>0</v>
      </c>
      <c r="BH188" s="138">
        <f t="shared" si="27"/>
        <v>0</v>
      </c>
      <c r="BI188" s="138">
        <f t="shared" si="28"/>
        <v>0</v>
      </c>
      <c r="BJ188" s="15" t="s">
        <v>143</v>
      </c>
      <c r="BK188" s="138">
        <f t="shared" si="29"/>
        <v>3842.3</v>
      </c>
      <c r="BL188" s="15" t="s">
        <v>149</v>
      </c>
      <c r="BM188" s="137" t="s">
        <v>305</v>
      </c>
    </row>
    <row r="189" spans="2:65" s="1" customFormat="1" ht="16.5" customHeight="1">
      <c r="B189" s="126"/>
      <c r="C189" s="127" t="s">
        <v>306</v>
      </c>
      <c r="D189" s="127" t="s">
        <v>144</v>
      </c>
      <c r="E189" s="128" t="s">
        <v>307</v>
      </c>
      <c r="F189" s="129" t="s">
        <v>308</v>
      </c>
      <c r="G189" s="130" t="s">
        <v>162</v>
      </c>
      <c r="H189" s="131">
        <v>57.6</v>
      </c>
      <c r="I189" s="132">
        <v>3990</v>
      </c>
      <c r="J189" s="132">
        <f t="shared" si="20"/>
        <v>229824</v>
      </c>
      <c r="K189" s="129" t="s">
        <v>148</v>
      </c>
      <c r="L189" s="27"/>
      <c r="M189" s="133" t="s">
        <v>1</v>
      </c>
      <c r="N189" s="134" t="s">
        <v>39</v>
      </c>
      <c r="O189" s="135">
        <v>1.1519999999999999</v>
      </c>
      <c r="P189" s="135">
        <f t="shared" si="21"/>
        <v>66.355199999999996</v>
      </c>
      <c r="Q189" s="135">
        <v>2.45336</v>
      </c>
      <c r="R189" s="135">
        <f t="shared" si="22"/>
        <v>141.313536</v>
      </c>
      <c r="S189" s="135">
        <v>0</v>
      </c>
      <c r="T189" s="136">
        <f t="shared" si="23"/>
        <v>0</v>
      </c>
      <c r="AR189" s="137" t="s">
        <v>149</v>
      </c>
      <c r="AT189" s="137" t="s">
        <v>144</v>
      </c>
      <c r="AU189" s="137" t="s">
        <v>143</v>
      </c>
      <c r="AY189" s="15" t="s">
        <v>141</v>
      </c>
      <c r="BE189" s="138">
        <f t="shared" si="24"/>
        <v>0</v>
      </c>
      <c r="BF189" s="138">
        <f t="shared" si="25"/>
        <v>229824</v>
      </c>
      <c r="BG189" s="138">
        <f t="shared" si="26"/>
        <v>0</v>
      </c>
      <c r="BH189" s="138">
        <f t="shared" si="27"/>
        <v>0</v>
      </c>
      <c r="BI189" s="138">
        <f t="shared" si="28"/>
        <v>0</v>
      </c>
      <c r="BJ189" s="15" t="s">
        <v>143</v>
      </c>
      <c r="BK189" s="138">
        <f t="shared" si="29"/>
        <v>229824</v>
      </c>
      <c r="BL189" s="15" t="s">
        <v>149</v>
      </c>
      <c r="BM189" s="137" t="s">
        <v>309</v>
      </c>
    </row>
    <row r="190" spans="2:65" s="1" customFormat="1" ht="24.2" customHeight="1">
      <c r="B190" s="126"/>
      <c r="C190" s="127" t="s">
        <v>310</v>
      </c>
      <c r="D190" s="127" t="s">
        <v>144</v>
      </c>
      <c r="E190" s="128" t="s">
        <v>311</v>
      </c>
      <c r="F190" s="129" t="s">
        <v>312</v>
      </c>
      <c r="G190" s="130" t="s">
        <v>157</v>
      </c>
      <c r="H190" s="131">
        <v>414.24</v>
      </c>
      <c r="I190" s="132">
        <v>849</v>
      </c>
      <c r="J190" s="132">
        <f t="shared" si="20"/>
        <v>351689.76</v>
      </c>
      <c r="K190" s="129" t="s">
        <v>148</v>
      </c>
      <c r="L190" s="27"/>
      <c r="M190" s="133" t="s">
        <v>1</v>
      </c>
      <c r="N190" s="134" t="s">
        <v>39</v>
      </c>
      <c r="O190" s="135">
        <v>0.33800000000000002</v>
      </c>
      <c r="P190" s="135">
        <f t="shared" si="21"/>
        <v>140.01312000000001</v>
      </c>
      <c r="Q190" s="135">
        <v>4.6499999999999996E-3</v>
      </c>
      <c r="R190" s="135">
        <f t="shared" si="22"/>
        <v>1.9262159999999999</v>
      </c>
      <c r="S190" s="135">
        <v>0</v>
      </c>
      <c r="T190" s="136">
        <f t="shared" si="23"/>
        <v>0</v>
      </c>
      <c r="AR190" s="137" t="s">
        <v>149</v>
      </c>
      <c r="AT190" s="137" t="s">
        <v>144</v>
      </c>
      <c r="AU190" s="137" t="s">
        <v>143</v>
      </c>
      <c r="AY190" s="15" t="s">
        <v>141</v>
      </c>
      <c r="BE190" s="138">
        <f t="shared" si="24"/>
        <v>0</v>
      </c>
      <c r="BF190" s="138">
        <f t="shared" si="25"/>
        <v>351689.76</v>
      </c>
      <c r="BG190" s="138">
        <f t="shared" si="26"/>
        <v>0</v>
      </c>
      <c r="BH190" s="138">
        <f t="shared" si="27"/>
        <v>0</v>
      </c>
      <c r="BI190" s="138">
        <f t="shared" si="28"/>
        <v>0</v>
      </c>
      <c r="BJ190" s="15" t="s">
        <v>143</v>
      </c>
      <c r="BK190" s="138">
        <f t="shared" si="29"/>
        <v>351689.76</v>
      </c>
      <c r="BL190" s="15" t="s">
        <v>149</v>
      </c>
      <c r="BM190" s="137" t="s">
        <v>313</v>
      </c>
    </row>
    <row r="191" spans="2:65" s="1" customFormat="1" ht="24.2" customHeight="1">
      <c r="B191" s="126"/>
      <c r="C191" s="127" t="s">
        <v>314</v>
      </c>
      <c r="D191" s="127" t="s">
        <v>144</v>
      </c>
      <c r="E191" s="128" t="s">
        <v>315</v>
      </c>
      <c r="F191" s="129" t="s">
        <v>316</v>
      </c>
      <c r="G191" s="130" t="s">
        <v>157</v>
      </c>
      <c r="H191" s="131">
        <v>414.24</v>
      </c>
      <c r="I191" s="132">
        <v>136</v>
      </c>
      <c r="J191" s="132">
        <f t="shared" si="20"/>
        <v>56336.639999999999</v>
      </c>
      <c r="K191" s="129" t="s">
        <v>148</v>
      </c>
      <c r="L191" s="27"/>
      <c r="M191" s="133" t="s">
        <v>1</v>
      </c>
      <c r="N191" s="134" t="s">
        <v>39</v>
      </c>
      <c r="O191" s="135">
        <v>0.22700000000000001</v>
      </c>
      <c r="P191" s="135">
        <f t="shared" si="21"/>
        <v>94.032480000000007</v>
      </c>
      <c r="Q191" s="135">
        <v>0</v>
      </c>
      <c r="R191" s="135">
        <f t="shared" si="22"/>
        <v>0</v>
      </c>
      <c r="S191" s="135">
        <v>0</v>
      </c>
      <c r="T191" s="136">
        <f t="shared" si="23"/>
        <v>0</v>
      </c>
      <c r="AR191" s="137" t="s">
        <v>149</v>
      </c>
      <c r="AT191" s="137" t="s">
        <v>144</v>
      </c>
      <c r="AU191" s="137" t="s">
        <v>143</v>
      </c>
      <c r="AY191" s="15" t="s">
        <v>141</v>
      </c>
      <c r="BE191" s="138">
        <f t="shared" si="24"/>
        <v>0</v>
      </c>
      <c r="BF191" s="138">
        <f t="shared" si="25"/>
        <v>56336.639999999999</v>
      </c>
      <c r="BG191" s="138">
        <f t="shared" si="26"/>
        <v>0</v>
      </c>
      <c r="BH191" s="138">
        <f t="shared" si="27"/>
        <v>0</v>
      </c>
      <c r="BI191" s="138">
        <f t="shared" si="28"/>
        <v>0</v>
      </c>
      <c r="BJ191" s="15" t="s">
        <v>143</v>
      </c>
      <c r="BK191" s="138">
        <f t="shared" si="29"/>
        <v>56336.639999999999</v>
      </c>
      <c r="BL191" s="15" t="s">
        <v>149</v>
      </c>
      <c r="BM191" s="137" t="s">
        <v>317</v>
      </c>
    </row>
    <row r="192" spans="2:65" s="1" customFormat="1" ht="33" customHeight="1">
      <c r="B192" s="126"/>
      <c r="C192" s="127" t="s">
        <v>318</v>
      </c>
      <c r="D192" s="127" t="s">
        <v>144</v>
      </c>
      <c r="E192" s="128" t="s">
        <v>319</v>
      </c>
      <c r="F192" s="129" t="s">
        <v>320</v>
      </c>
      <c r="G192" s="130" t="s">
        <v>157</v>
      </c>
      <c r="H192" s="131">
        <v>414.24</v>
      </c>
      <c r="I192" s="132">
        <v>712</v>
      </c>
      <c r="J192" s="132">
        <f t="shared" si="20"/>
        <v>294938.88</v>
      </c>
      <c r="K192" s="129" t="s">
        <v>148</v>
      </c>
      <c r="L192" s="27"/>
      <c r="M192" s="133" t="s">
        <v>1</v>
      </c>
      <c r="N192" s="134" t="s">
        <v>39</v>
      </c>
      <c r="O192" s="135">
        <v>0.374</v>
      </c>
      <c r="P192" s="135">
        <f t="shared" si="21"/>
        <v>154.92576</v>
      </c>
      <c r="Q192" s="135">
        <v>1.6100000000000001E-3</v>
      </c>
      <c r="R192" s="135">
        <f t="shared" si="22"/>
        <v>0.66692640000000003</v>
      </c>
      <c r="S192" s="135">
        <v>0</v>
      </c>
      <c r="T192" s="136">
        <f t="shared" si="23"/>
        <v>0</v>
      </c>
      <c r="AR192" s="137" t="s">
        <v>149</v>
      </c>
      <c r="AT192" s="137" t="s">
        <v>144</v>
      </c>
      <c r="AU192" s="137" t="s">
        <v>143</v>
      </c>
      <c r="AY192" s="15" t="s">
        <v>141</v>
      </c>
      <c r="BE192" s="138">
        <f t="shared" si="24"/>
        <v>0</v>
      </c>
      <c r="BF192" s="138">
        <f t="shared" si="25"/>
        <v>294938.88</v>
      </c>
      <c r="BG192" s="138">
        <f t="shared" si="26"/>
        <v>0</v>
      </c>
      <c r="BH192" s="138">
        <f t="shared" si="27"/>
        <v>0</v>
      </c>
      <c r="BI192" s="138">
        <f t="shared" si="28"/>
        <v>0</v>
      </c>
      <c r="BJ192" s="15" t="s">
        <v>143</v>
      </c>
      <c r="BK192" s="138">
        <f t="shared" si="29"/>
        <v>294938.88</v>
      </c>
      <c r="BL192" s="15" t="s">
        <v>149</v>
      </c>
      <c r="BM192" s="137" t="s">
        <v>321</v>
      </c>
    </row>
    <row r="193" spans="2:65" s="1" customFormat="1" ht="33" customHeight="1">
      <c r="B193" s="126"/>
      <c r="C193" s="127" t="s">
        <v>322</v>
      </c>
      <c r="D193" s="127" t="s">
        <v>144</v>
      </c>
      <c r="E193" s="128" t="s">
        <v>323</v>
      </c>
      <c r="F193" s="129" t="s">
        <v>324</v>
      </c>
      <c r="G193" s="130" t="s">
        <v>157</v>
      </c>
      <c r="H193" s="131">
        <v>414.24</v>
      </c>
      <c r="I193" s="132">
        <v>134</v>
      </c>
      <c r="J193" s="132">
        <f t="shared" si="20"/>
        <v>55508.160000000003</v>
      </c>
      <c r="K193" s="129" t="s">
        <v>148</v>
      </c>
      <c r="L193" s="27"/>
      <c r="M193" s="133" t="s">
        <v>1</v>
      </c>
      <c r="N193" s="134" t="s">
        <v>39</v>
      </c>
      <c r="O193" s="135">
        <v>0.223</v>
      </c>
      <c r="P193" s="135">
        <f t="shared" si="21"/>
        <v>92.375520000000009</v>
      </c>
      <c r="Q193" s="135">
        <v>0</v>
      </c>
      <c r="R193" s="135">
        <f t="shared" si="22"/>
        <v>0</v>
      </c>
      <c r="S193" s="135">
        <v>0</v>
      </c>
      <c r="T193" s="136">
        <f t="shared" si="23"/>
        <v>0</v>
      </c>
      <c r="AR193" s="137" t="s">
        <v>149</v>
      </c>
      <c r="AT193" s="137" t="s">
        <v>144</v>
      </c>
      <c r="AU193" s="137" t="s">
        <v>143</v>
      </c>
      <c r="AY193" s="15" t="s">
        <v>141</v>
      </c>
      <c r="BE193" s="138">
        <f t="shared" si="24"/>
        <v>0</v>
      </c>
      <c r="BF193" s="138">
        <f t="shared" si="25"/>
        <v>55508.160000000003</v>
      </c>
      <c r="BG193" s="138">
        <f t="shared" si="26"/>
        <v>0</v>
      </c>
      <c r="BH193" s="138">
        <f t="shared" si="27"/>
        <v>0</v>
      </c>
      <c r="BI193" s="138">
        <f t="shared" si="28"/>
        <v>0</v>
      </c>
      <c r="BJ193" s="15" t="s">
        <v>143</v>
      </c>
      <c r="BK193" s="138">
        <f t="shared" si="29"/>
        <v>55508.160000000003</v>
      </c>
      <c r="BL193" s="15" t="s">
        <v>149</v>
      </c>
      <c r="BM193" s="137" t="s">
        <v>325</v>
      </c>
    </row>
    <row r="194" spans="2:65" s="1" customFormat="1" ht="24.2" customHeight="1">
      <c r="B194" s="126"/>
      <c r="C194" s="127" t="s">
        <v>326</v>
      </c>
      <c r="D194" s="127" t="s">
        <v>144</v>
      </c>
      <c r="E194" s="128" t="s">
        <v>327</v>
      </c>
      <c r="F194" s="129" t="s">
        <v>328</v>
      </c>
      <c r="G194" s="130" t="s">
        <v>179</v>
      </c>
      <c r="H194" s="131">
        <v>10.08</v>
      </c>
      <c r="I194" s="132">
        <v>62900</v>
      </c>
      <c r="J194" s="132">
        <f t="shared" si="20"/>
        <v>634032</v>
      </c>
      <c r="K194" s="129" t="s">
        <v>148</v>
      </c>
      <c r="L194" s="27"/>
      <c r="M194" s="133" t="s">
        <v>1</v>
      </c>
      <c r="N194" s="134" t="s">
        <v>39</v>
      </c>
      <c r="O194" s="135">
        <v>26.425000000000001</v>
      </c>
      <c r="P194" s="135">
        <f t="shared" si="21"/>
        <v>266.36400000000003</v>
      </c>
      <c r="Q194" s="135">
        <v>1.0551200000000001</v>
      </c>
      <c r="R194" s="135">
        <f t="shared" si="22"/>
        <v>10.6356096</v>
      </c>
      <c r="S194" s="135">
        <v>0</v>
      </c>
      <c r="T194" s="136">
        <f t="shared" si="23"/>
        <v>0</v>
      </c>
      <c r="AR194" s="137" t="s">
        <v>149</v>
      </c>
      <c r="AT194" s="137" t="s">
        <v>144</v>
      </c>
      <c r="AU194" s="137" t="s">
        <v>143</v>
      </c>
      <c r="AY194" s="15" t="s">
        <v>141</v>
      </c>
      <c r="BE194" s="138">
        <f t="shared" si="24"/>
        <v>0</v>
      </c>
      <c r="BF194" s="138">
        <f t="shared" si="25"/>
        <v>634032</v>
      </c>
      <c r="BG194" s="138">
        <f t="shared" si="26"/>
        <v>0</v>
      </c>
      <c r="BH194" s="138">
        <f t="shared" si="27"/>
        <v>0</v>
      </c>
      <c r="BI194" s="138">
        <f t="shared" si="28"/>
        <v>0</v>
      </c>
      <c r="BJ194" s="15" t="s">
        <v>143</v>
      </c>
      <c r="BK194" s="138">
        <f t="shared" si="29"/>
        <v>634032</v>
      </c>
      <c r="BL194" s="15" t="s">
        <v>149</v>
      </c>
      <c r="BM194" s="137" t="s">
        <v>329</v>
      </c>
    </row>
    <row r="195" spans="2:65" s="11" customFormat="1" ht="22.9" customHeight="1">
      <c r="B195" s="115"/>
      <c r="D195" s="116" t="s">
        <v>72</v>
      </c>
      <c r="E195" s="124" t="s">
        <v>164</v>
      </c>
      <c r="F195" s="124" t="s">
        <v>330</v>
      </c>
      <c r="J195" s="125">
        <f>BK195</f>
        <v>4234062.0100000007</v>
      </c>
      <c r="L195" s="115"/>
      <c r="M195" s="119"/>
      <c r="P195" s="120">
        <f>SUM(P196:P221)</f>
        <v>4356.5576380000002</v>
      </c>
      <c r="R195" s="120">
        <f>SUM(R196:R221)</f>
        <v>364.38632802000001</v>
      </c>
      <c r="T195" s="121">
        <f>SUM(T196:T221)</f>
        <v>0</v>
      </c>
      <c r="AR195" s="116" t="s">
        <v>81</v>
      </c>
      <c r="AT195" s="122" t="s">
        <v>72</v>
      </c>
      <c r="AU195" s="122" t="s">
        <v>81</v>
      </c>
      <c r="AY195" s="116" t="s">
        <v>141</v>
      </c>
      <c r="BK195" s="123">
        <f>SUM(BK196:BK221)</f>
        <v>4234062.0100000007</v>
      </c>
    </row>
    <row r="196" spans="2:65" s="1" customFormat="1" ht="24.2" customHeight="1">
      <c r="B196" s="126"/>
      <c r="C196" s="127" t="s">
        <v>331</v>
      </c>
      <c r="D196" s="127" t="s">
        <v>144</v>
      </c>
      <c r="E196" s="128" t="s">
        <v>332</v>
      </c>
      <c r="F196" s="129" t="s">
        <v>333</v>
      </c>
      <c r="G196" s="130" t="s">
        <v>157</v>
      </c>
      <c r="H196" s="131">
        <v>86.808000000000007</v>
      </c>
      <c r="I196" s="132">
        <v>373</v>
      </c>
      <c r="J196" s="132">
        <f t="shared" ref="J196:J203" si="30">ROUND(I196*H196,2)</f>
        <v>32379.38</v>
      </c>
      <c r="K196" s="129" t="s">
        <v>148</v>
      </c>
      <c r="L196" s="27"/>
      <c r="M196" s="133" t="s">
        <v>1</v>
      </c>
      <c r="N196" s="134" t="s">
        <v>39</v>
      </c>
      <c r="O196" s="135">
        <v>0.56999999999999995</v>
      </c>
      <c r="P196" s="135">
        <f t="shared" ref="P196:P203" si="31">O196*H196</f>
        <v>49.480559999999997</v>
      </c>
      <c r="Q196" s="135">
        <v>1.8380000000000001E-2</v>
      </c>
      <c r="R196" s="135">
        <f t="shared" ref="R196:R203" si="32">Q196*H196</f>
        <v>1.5955310400000002</v>
      </c>
      <c r="S196" s="135">
        <v>0</v>
      </c>
      <c r="T196" s="136">
        <f t="shared" ref="T196:T203" si="33">S196*H196</f>
        <v>0</v>
      </c>
      <c r="AR196" s="137" t="s">
        <v>149</v>
      </c>
      <c r="AT196" s="137" t="s">
        <v>144</v>
      </c>
      <c r="AU196" s="137" t="s">
        <v>143</v>
      </c>
      <c r="AY196" s="15" t="s">
        <v>141</v>
      </c>
      <c r="BE196" s="138">
        <f t="shared" ref="BE196:BE203" si="34">IF(N196="základní",J196,0)</f>
        <v>0</v>
      </c>
      <c r="BF196" s="138">
        <f t="shared" ref="BF196:BF203" si="35">IF(N196="snížená",J196,0)</f>
        <v>32379.38</v>
      </c>
      <c r="BG196" s="138">
        <f t="shared" ref="BG196:BG203" si="36">IF(N196="zákl. přenesená",J196,0)</f>
        <v>0</v>
      </c>
      <c r="BH196" s="138">
        <f t="shared" ref="BH196:BH203" si="37">IF(N196="sníž. přenesená",J196,0)</f>
        <v>0</v>
      </c>
      <c r="BI196" s="138">
        <f t="shared" ref="BI196:BI203" si="38">IF(N196="nulová",J196,0)</f>
        <v>0</v>
      </c>
      <c r="BJ196" s="15" t="s">
        <v>143</v>
      </c>
      <c r="BK196" s="138">
        <f t="shared" ref="BK196:BK203" si="39">ROUND(I196*H196,2)</f>
        <v>32379.38</v>
      </c>
      <c r="BL196" s="15" t="s">
        <v>149</v>
      </c>
      <c r="BM196" s="137" t="s">
        <v>334</v>
      </c>
    </row>
    <row r="197" spans="2:65" s="1" customFormat="1" ht="24.2" customHeight="1">
      <c r="B197" s="126"/>
      <c r="C197" s="127" t="s">
        <v>335</v>
      </c>
      <c r="D197" s="127" t="s">
        <v>144</v>
      </c>
      <c r="E197" s="128" t="s">
        <v>336</v>
      </c>
      <c r="F197" s="129" t="s">
        <v>337</v>
      </c>
      <c r="G197" s="130" t="s">
        <v>157</v>
      </c>
      <c r="H197" s="131">
        <v>86.808000000000007</v>
      </c>
      <c r="I197" s="132">
        <v>78.5</v>
      </c>
      <c r="J197" s="132">
        <f t="shared" si="30"/>
        <v>6814.43</v>
      </c>
      <c r="K197" s="129" t="s">
        <v>148</v>
      </c>
      <c r="L197" s="27"/>
      <c r="M197" s="133" t="s">
        <v>1</v>
      </c>
      <c r="N197" s="134" t="s">
        <v>39</v>
      </c>
      <c r="O197" s="135">
        <v>0.1</v>
      </c>
      <c r="P197" s="135">
        <f t="shared" si="31"/>
        <v>8.6808000000000014</v>
      </c>
      <c r="Q197" s="135">
        <v>7.9000000000000008E-3</v>
      </c>
      <c r="R197" s="135">
        <f t="shared" si="32"/>
        <v>0.68578320000000015</v>
      </c>
      <c r="S197" s="135">
        <v>0</v>
      </c>
      <c r="T197" s="136">
        <f t="shared" si="33"/>
        <v>0</v>
      </c>
      <c r="AR197" s="137" t="s">
        <v>149</v>
      </c>
      <c r="AT197" s="137" t="s">
        <v>144</v>
      </c>
      <c r="AU197" s="137" t="s">
        <v>143</v>
      </c>
      <c r="AY197" s="15" t="s">
        <v>141</v>
      </c>
      <c r="BE197" s="138">
        <f t="shared" si="34"/>
        <v>0</v>
      </c>
      <c r="BF197" s="138">
        <f t="shared" si="35"/>
        <v>6814.43</v>
      </c>
      <c r="BG197" s="138">
        <f t="shared" si="36"/>
        <v>0</v>
      </c>
      <c r="BH197" s="138">
        <f t="shared" si="37"/>
        <v>0</v>
      </c>
      <c r="BI197" s="138">
        <f t="shared" si="38"/>
        <v>0</v>
      </c>
      <c r="BJ197" s="15" t="s">
        <v>143</v>
      </c>
      <c r="BK197" s="138">
        <f t="shared" si="39"/>
        <v>6814.43</v>
      </c>
      <c r="BL197" s="15" t="s">
        <v>149</v>
      </c>
      <c r="BM197" s="137" t="s">
        <v>338</v>
      </c>
    </row>
    <row r="198" spans="2:65" s="1" customFormat="1" ht="24.2" customHeight="1">
      <c r="B198" s="126"/>
      <c r="C198" s="127" t="s">
        <v>339</v>
      </c>
      <c r="D198" s="127" t="s">
        <v>144</v>
      </c>
      <c r="E198" s="128" t="s">
        <v>340</v>
      </c>
      <c r="F198" s="129" t="s">
        <v>341</v>
      </c>
      <c r="G198" s="130" t="s">
        <v>157</v>
      </c>
      <c r="H198" s="131">
        <v>4198</v>
      </c>
      <c r="I198" s="132">
        <v>322</v>
      </c>
      <c r="J198" s="132">
        <f t="shared" si="30"/>
        <v>1351756</v>
      </c>
      <c r="K198" s="129" t="s">
        <v>148</v>
      </c>
      <c r="L198" s="27"/>
      <c r="M198" s="133" t="s">
        <v>1</v>
      </c>
      <c r="N198" s="134" t="s">
        <v>39</v>
      </c>
      <c r="O198" s="135">
        <v>0.47</v>
      </c>
      <c r="P198" s="135">
        <f t="shared" si="31"/>
        <v>1973.06</v>
      </c>
      <c r="Q198" s="135">
        <v>1.8380000000000001E-2</v>
      </c>
      <c r="R198" s="135">
        <f t="shared" si="32"/>
        <v>77.159239999999997</v>
      </c>
      <c r="S198" s="135">
        <v>0</v>
      </c>
      <c r="T198" s="136">
        <f t="shared" si="33"/>
        <v>0</v>
      </c>
      <c r="AR198" s="137" t="s">
        <v>149</v>
      </c>
      <c r="AT198" s="137" t="s">
        <v>144</v>
      </c>
      <c r="AU198" s="137" t="s">
        <v>143</v>
      </c>
      <c r="AY198" s="15" t="s">
        <v>141</v>
      </c>
      <c r="BE198" s="138">
        <f t="shared" si="34"/>
        <v>0</v>
      </c>
      <c r="BF198" s="138">
        <f t="shared" si="35"/>
        <v>1351756</v>
      </c>
      <c r="BG198" s="138">
        <f t="shared" si="36"/>
        <v>0</v>
      </c>
      <c r="BH198" s="138">
        <f t="shared" si="37"/>
        <v>0</v>
      </c>
      <c r="BI198" s="138">
        <f t="shared" si="38"/>
        <v>0</v>
      </c>
      <c r="BJ198" s="15" t="s">
        <v>143</v>
      </c>
      <c r="BK198" s="138">
        <f t="shared" si="39"/>
        <v>1351756</v>
      </c>
      <c r="BL198" s="15" t="s">
        <v>149</v>
      </c>
      <c r="BM198" s="137" t="s">
        <v>342</v>
      </c>
    </row>
    <row r="199" spans="2:65" s="1" customFormat="1" ht="24.2" customHeight="1">
      <c r="B199" s="126"/>
      <c r="C199" s="127" t="s">
        <v>347</v>
      </c>
      <c r="D199" s="127" t="s">
        <v>144</v>
      </c>
      <c r="E199" s="128" t="s">
        <v>348</v>
      </c>
      <c r="F199" s="129" t="s">
        <v>349</v>
      </c>
      <c r="G199" s="130" t="s">
        <v>157</v>
      </c>
      <c r="H199" s="131">
        <v>4198</v>
      </c>
      <c r="I199" s="132">
        <v>74.2</v>
      </c>
      <c r="J199" s="132">
        <f t="shared" si="30"/>
        <v>311491.59999999998</v>
      </c>
      <c r="K199" s="129" t="s">
        <v>148</v>
      </c>
      <c r="L199" s="27"/>
      <c r="M199" s="133" t="s">
        <v>1</v>
      </c>
      <c r="N199" s="134" t="s">
        <v>39</v>
      </c>
      <c r="O199" s="135">
        <v>0.09</v>
      </c>
      <c r="P199" s="135">
        <f t="shared" si="31"/>
        <v>377.82</v>
      </c>
      <c r="Q199" s="135">
        <v>7.9000000000000008E-3</v>
      </c>
      <c r="R199" s="135">
        <f t="shared" si="32"/>
        <v>33.164200000000001</v>
      </c>
      <c r="S199" s="135">
        <v>0</v>
      </c>
      <c r="T199" s="136">
        <f t="shared" si="33"/>
        <v>0</v>
      </c>
      <c r="AR199" s="137" t="s">
        <v>149</v>
      </c>
      <c r="AT199" s="137" t="s">
        <v>144</v>
      </c>
      <c r="AU199" s="137" t="s">
        <v>143</v>
      </c>
      <c r="AY199" s="15" t="s">
        <v>141</v>
      </c>
      <c r="BE199" s="138">
        <f t="shared" si="34"/>
        <v>0</v>
      </c>
      <c r="BF199" s="138">
        <f t="shared" si="35"/>
        <v>311491.59999999998</v>
      </c>
      <c r="BG199" s="138">
        <f t="shared" si="36"/>
        <v>0</v>
      </c>
      <c r="BH199" s="138">
        <f t="shared" si="37"/>
        <v>0</v>
      </c>
      <c r="BI199" s="138">
        <f t="shared" si="38"/>
        <v>0</v>
      </c>
      <c r="BJ199" s="15" t="s">
        <v>143</v>
      </c>
      <c r="BK199" s="138">
        <f t="shared" si="39"/>
        <v>311491.59999999998</v>
      </c>
      <c r="BL199" s="15" t="s">
        <v>149</v>
      </c>
      <c r="BM199" s="137" t="s">
        <v>350</v>
      </c>
    </row>
    <row r="200" spans="2:65" s="1" customFormat="1" ht="24.2" customHeight="1">
      <c r="B200" s="126"/>
      <c r="C200" s="127" t="s">
        <v>343</v>
      </c>
      <c r="D200" s="127" t="s">
        <v>144</v>
      </c>
      <c r="E200" s="128" t="s">
        <v>344</v>
      </c>
      <c r="F200" s="129" t="s">
        <v>345</v>
      </c>
      <c r="G200" s="130" t="s">
        <v>157</v>
      </c>
      <c r="H200" s="131">
        <v>293.86</v>
      </c>
      <c r="I200" s="132">
        <v>426</v>
      </c>
      <c r="J200" s="132">
        <f t="shared" si="30"/>
        <v>125184.36</v>
      </c>
      <c r="K200" s="129" t="s">
        <v>148</v>
      </c>
      <c r="L200" s="27"/>
      <c r="M200" s="133" t="s">
        <v>1</v>
      </c>
      <c r="N200" s="134" t="s">
        <v>39</v>
      </c>
      <c r="O200" s="135">
        <v>0.67</v>
      </c>
      <c r="P200" s="135">
        <f t="shared" si="31"/>
        <v>196.88620000000003</v>
      </c>
      <c r="Q200" s="135">
        <v>1.8380000000000001E-2</v>
      </c>
      <c r="R200" s="135">
        <f t="shared" si="32"/>
        <v>5.4011468000000002</v>
      </c>
      <c r="S200" s="135">
        <v>0</v>
      </c>
      <c r="T200" s="136">
        <f t="shared" si="33"/>
        <v>0</v>
      </c>
      <c r="AR200" s="137" t="s">
        <v>149</v>
      </c>
      <c r="AT200" s="137" t="s">
        <v>144</v>
      </c>
      <c r="AU200" s="137" t="s">
        <v>143</v>
      </c>
      <c r="AY200" s="15" t="s">
        <v>141</v>
      </c>
      <c r="BE200" s="138">
        <f t="shared" si="34"/>
        <v>0</v>
      </c>
      <c r="BF200" s="138">
        <f t="shared" si="35"/>
        <v>125184.36</v>
      </c>
      <c r="BG200" s="138">
        <f t="shared" si="36"/>
        <v>0</v>
      </c>
      <c r="BH200" s="138">
        <f t="shared" si="37"/>
        <v>0</v>
      </c>
      <c r="BI200" s="138">
        <f t="shared" si="38"/>
        <v>0</v>
      </c>
      <c r="BJ200" s="15" t="s">
        <v>143</v>
      </c>
      <c r="BK200" s="138">
        <f t="shared" si="39"/>
        <v>125184.36</v>
      </c>
      <c r="BL200" s="15" t="s">
        <v>149</v>
      </c>
      <c r="BM200" s="137" t="s">
        <v>346</v>
      </c>
    </row>
    <row r="201" spans="2:65" s="1" customFormat="1" ht="24.2" customHeight="1">
      <c r="B201" s="126"/>
      <c r="C201" s="127" t="s">
        <v>351</v>
      </c>
      <c r="D201" s="127" t="s">
        <v>144</v>
      </c>
      <c r="E201" s="128" t="s">
        <v>352</v>
      </c>
      <c r="F201" s="129" t="s">
        <v>353</v>
      </c>
      <c r="G201" s="130" t="s">
        <v>157</v>
      </c>
      <c r="H201" s="131">
        <v>293.86</v>
      </c>
      <c r="I201" s="132">
        <v>87</v>
      </c>
      <c r="J201" s="132">
        <f t="shared" si="30"/>
        <v>25565.82</v>
      </c>
      <c r="K201" s="129" t="s">
        <v>148</v>
      </c>
      <c r="L201" s="27"/>
      <c r="M201" s="133" t="s">
        <v>1</v>
      </c>
      <c r="N201" s="134" t="s">
        <v>39</v>
      </c>
      <c r="O201" s="135">
        <v>0.12</v>
      </c>
      <c r="P201" s="135">
        <f t="shared" si="31"/>
        <v>35.263199999999998</v>
      </c>
      <c r="Q201" s="135">
        <v>7.9000000000000008E-3</v>
      </c>
      <c r="R201" s="135">
        <f t="shared" si="32"/>
        <v>2.3214940000000004</v>
      </c>
      <c r="S201" s="135">
        <v>0</v>
      </c>
      <c r="T201" s="136">
        <f t="shared" si="33"/>
        <v>0</v>
      </c>
      <c r="AR201" s="137" t="s">
        <v>149</v>
      </c>
      <c r="AT201" s="137" t="s">
        <v>144</v>
      </c>
      <c r="AU201" s="137" t="s">
        <v>143</v>
      </c>
      <c r="AY201" s="15" t="s">
        <v>141</v>
      </c>
      <c r="BE201" s="138">
        <f t="shared" si="34"/>
        <v>0</v>
      </c>
      <c r="BF201" s="138">
        <f t="shared" si="35"/>
        <v>25565.82</v>
      </c>
      <c r="BG201" s="138">
        <f t="shared" si="36"/>
        <v>0</v>
      </c>
      <c r="BH201" s="138">
        <f t="shared" si="37"/>
        <v>0</v>
      </c>
      <c r="BI201" s="138">
        <f t="shared" si="38"/>
        <v>0</v>
      </c>
      <c r="BJ201" s="15" t="s">
        <v>143</v>
      </c>
      <c r="BK201" s="138">
        <f t="shared" si="39"/>
        <v>25565.82</v>
      </c>
      <c r="BL201" s="15" t="s">
        <v>149</v>
      </c>
      <c r="BM201" s="137" t="s">
        <v>354</v>
      </c>
    </row>
    <row r="202" spans="2:65" s="1" customFormat="1" ht="44.25" customHeight="1">
      <c r="B202" s="126"/>
      <c r="C202" s="127" t="s">
        <v>355</v>
      </c>
      <c r="D202" s="127" t="s">
        <v>144</v>
      </c>
      <c r="E202" s="128" t="s">
        <v>356</v>
      </c>
      <c r="F202" s="129" t="s">
        <v>357</v>
      </c>
      <c r="G202" s="130" t="s">
        <v>157</v>
      </c>
      <c r="H202" s="131">
        <v>51.975999999999999</v>
      </c>
      <c r="I202" s="132">
        <v>1190</v>
      </c>
      <c r="J202" s="132">
        <f t="shared" si="30"/>
        <v>61851.44</v>
      </c>
      <c r="K202" s="129" t="s">
        <v>148</v>
      </c>
      <c r="L202" s="27"/>
      <c r="M202" s="133" t="s">
        <v>1</v>
      </c>
      <c r="N202" s="134" t="s">
        <v>39</v>
      </c>
      <c r="O202" s="135">
        <v>1.45</v>
      </c>
      <c r="P202" s="135">
        <f t="shared" si="31"/>
        <v>75.365200000000002</v>
      </c>
      <c r="Q202" s="135">
        <v>9.6500000000000006E-3</v>
      </c>
      <c r="R202" s="135">
        <f t="shared" si="32"/>
        <v>0.50156840000000003</v>
      </c>
      <c r="S202" s="135">
        <v>0</v>
      </c>
      <c r="T202" s="136">
        <f t="shared" si="33"/>
        <v>0</v>
      </c>
      <c r="AR202" s="137" t="s">
        <v>149</v>
      </c>
      <c r="AT202" s="137" t="s">
        <v>144</v>
      </c>
      <c r="AU202" s="137" t="s">
        <v>143</v>
      </c>
      <c r="AY202" s="15" t="s">
        <v>141</v>
      </c>
      <c r="BE202" s="138">
        <f t="shared" si="34"/>
        <v>0</v>
      </c>
      <c r="BF202" s="138">
        <f t="shared" si="35"/>
        <v>61851.44</v>
      </c>
      <c r="BG202" s="138">
        <f t="shared" si="36"/>
        <v>0</v>
      </c>
      <c r="BH202" s="138">
        <f t="shared" si="37"/>
        <v>0</v>
      </c>
      <c r="BI202" s="138">
        <f t="shared" si="38"/>
        <v>0</v>
      </c>
      <c r="BJ202" s="15" t="s">
        <v>143</v>
      </c>
      <c r="BK202" s="138">
        <f t="shared" si="39"/>
        <v>61851.44</v>
      </c>
      <c r="BL202" s="15" t="s">
        <v>149</v>
      </c>
      <c r="BM202" s="137" t="s">
        <v>358</v>
      </c>
    </row>
    <row r="203" spans="2:65" s="1" customFormat="1" ht="24.2" customHeight="1">
      <c r="B203" s="126"/>
      <c r="C203" s="139" t="s">
        <v>359</v>
      </c>
      <c r="D203" s="139" t="s">
        <v>207</v>
      </c>
      <c r="E203" s="140" t="s">
        <v>360</v>
      </c>
      <c r="F203" s="141" t="s">
        <v>361</v>
      </c>
      <c r="G203" s="142" t="s">
        <v>157</v>
      </c>
      <c r="H203" s="143">
        <v>53.015999999999998</v>
      </c>
      <c r="I203" s="144">
        <v>1310</v>
      </c>
      <c r="J203" s="144">
        <f t="shared" si="30"/>
        <v>69450.960000000006</v>
      </c>
      <c r="K203" s="141" t="s">
        <v>148</v>
      </c>
      <c r="L203" s="145"/>
      <c r="M203" s="146" t="s">
        <v>1</v>
      </c>
      <c r="N203" s="147" t="s">
        <v>39</v>
      </c>
      <c r="O203" s="135">
        <v>0</v>
      </c>
      <c r="P203" s="135">
        <f t="shared" si="31"/>
        <v>0</v>
      </c>
      <c r="Q203" s="135">
        <v>2.6499999999999999E-2</v>
      </c>
      <c r="R203" s="135">
        <f t="shared" si="32"/>
        <v>1.4049239999999998</v>
      </c>
      <c r="S203" s="135">
        <v>0</v>
      </c>
      <c r="T203" s="136">
        <f t="shared" si="33"/>
        <v>0</v>
      </c>
      <c r="AR203" s="137" t="s">
        <v>172</v>
      </c>
      <c r="AT203" s="137" t="s">
        <v>207</v>
      </c>
      <c r="AU203" s="137" t="s">
        <v>143</v>
      </c>
      <c r="AY203" s="15" t="s">
        <v>141</v>
      </c>
      <c r="BE203" s="138">
        <f t="shared" si="34"/>
        <v>0</v>
      </c>
      <c r="BF203" s="138">
        <f t="shared" si="35"/>
        <v>69450.960000000006</v>
      </c>
      <c r="BG203" s="138">
        <f t="shared" si="36"/>
        <v>0</v>
      </c>
      <c r="BH203" s="138">
        <f t="shared" si="37"/>
        <v>0</v>
      </c>
      <c r="BI203" s="138">
        <f t="shared" si="38"/>
        <v>0</v>
      </c>
      <c r="BJ203" s="15" t="s">
        <v>143</v>
      </c>
      <c r="BK203" s="138">
        <f t="shared" si="39"/>
        <v>69450.960000000006</v>
      </c>
      <c r="BL203" s="15" t="s">
        <v>149</v>
      </c>
      <c r="BM203" s="137" t="s">
        <v>362</v>
      </c>
    </row>
    <row r="204" spans="2:65" s="12" customFormat="1">
      <c r="B204" s="148"/>
      <c r="D204" s="149" t="s">
        <v>363</v>
      </c>
      <c r="F204" s="150" t="s">
        <v>1143</v>
      </c>
      <c r="H204" s="151">
        <v>53.015999999999998</v>
      </c>
      <c r="L204" s="148"/>
      <c r="M204" s="152"/>
      <c r="T204" s="153"/>
      <c r="AT204" s="154" t="s">
        <v>363</v>
      </c>
      <c r="AU204" s="154" t="s">
        <v>143</v>
      </c>
      <c r="AV204" s="12" t="s">
        <v>143</v>
      </c>
      <c r="AW204" s="12" t="s">
        <v>3</v>
      </c>
      <c r="AX204" s="12" t="s">
        <v>81</v>
      </c>
      <c r="AY204" s="154" t="s">
        <v>141</v>
      </c>
    </row>
    <row r="205" spans="2:65" s="1" customFormat="1" ht="24.2" customHeight="1">
      <c r="B205" s="126"/>
      <c r="C205" s="127" t="s">
        <v>365</v>
      </c>
      <c r="D205" s="127" t="s">
        <v>144</v>
      </c>
      <c r="E205" s="128" t="s">
        <v>366</v>
      </c>
      <c r="F205" s="129" t="s">
        <v>367</v>
      </c>
      <c r="G205" s="130" t="s">
        <v>157</v>
      </c>
      <c r="H205" s="131">
        <v>51.975999999999999</v>
      </c>
      <c r="I205" s="132">
        <v>454</v>
      </c>
      <c r="J205" s="132">
        <f>ROUND(I205*H205,2)</f>
        <v>23597.1</v>
      </c>
      <c r="K205" s="129" t="s">
        <v>368</v>
      </c>
      <c r="L205" s="27"/>
      <c r="M205" s="133" t="s">
        <v>1</v>
      </c>
      <c r="N205" s="134" t="s">
        <v>39</v>
      </c>
      <c r="O205" s="135">
        <v>0.28499999999999998</v>
      </c>
      <c r="P205" s="135">
        <f>O205*H205</f>
        <v>14.813159999999998</v>
      </c>
      <c r="Q205" s="135">
        <v>4.7800000000000004E-3</v>
      </c>
      <c r="R205" s="135">
        <f>Q205*H205</f>
        <v>0.24844528000000002</v>
      </c>
      <c r="S205" s="135">
        <v>0</v>
      </c>
      <c r="T205" s="136">
        <f>S205*H205</f>
        <v>0</v>
      </c>
      <c r="AR205" s="137" t="s">
        <v>149</v>
      </c>
      <c r="AT205" s="137" t="s">
        <v>144</v>
      </c>
      <c r="AU205" s="137" t="s">
        <v>143</v>
      </c>
      <c r="AY205" s="15" t="s">
        <v>141</v>
      </c>
      <c r="BE205" s="138">
        <f>IF(N205="základní",J205,0)</f>
        <v>0</v>
      </c>
      <c r="BF205" s="138">
        <f>IF(N205="snížená",J205,0)</f>
        <v>23597.1</v>
      </c>
      <c r="BG205" s="138">
        <f>IF(N205="zákl. přenesená",J205,0)</f>
        <v>0</v>
      </c>
      <c r="BH205" s="138">
        <f>IF(N205="sníž. přenesená",J205,0)</f>
        <v>0</v>
      </c>
      <c r="BI205" s="138">
        <f>IF(N205="nulová",J205,0)</f>
        <v>0</v>
      </c>
      <c r="BJ205" s="15" t="s">
        <v>143</v>
      </c>
      <c r="BK205" s="138">
        <f>ROUND(I205*H205,2)</f>
        <v>23597.1</v>
      </c>
      <c r="BL205" s="15" t="s">
        <v>149</v>
      </c>
      <c r="BM205" s="137" t="s">
        <v>369</v>
      </c>
    </row>
    <row r="206" spans="2:65" s="1" customFormat="1" ht="24.2" customHeight="1">
      <c r="B206" s="126"/>
      <c r="C206" s="127" t="s">
        <v>370</v>
      </c>
      <c r="D206" s="127" t="s">
        <v>144</v>
      </c>
      <c r="E206" s="128" t="s">
        <v>371</v>
      </c>
      <c r="F206" s="129" t="s">
        <v>372</v>
      </c>
      <c r="G206" s="130" t="s">
        <v>193</v>
      </c>
      <c r="H206" s="131">
        <v>604.79999999999995</v>
      </c>
      <c r="I206" s="132">
        <v>41</v>
      </c>
      <c r="J206" s="132">
        <f>ROUND(I206*H206,2)</f>
        <v>24796.799999999999</v>
      </c>
      <c r="K206" s="129" t="s">
        <v>148</v>
      </c>
      <c r="L206" s="27"/>
      <c r="M206" s="133" t="s">
        <v>1</v>
      </c>
      <c r="N206" s="134" t="s">
        <v>39</v>
      </c>
      <c r="O206" s="135">
        <v>9.6000000000000002E-2</v>
      </c>
      <c r="P206" s="135">
        <f>O206*H206</f>
        <v>58.060799999999993</v>
      </c>
      <c r="Q206" s="135">
        <v>0</v>
      </c>
      <c r="R206" s="135">
        <f>Q206*H206</f>
        <v>0</v>
      </c>
      <c r="S206" s="135">
        <v>0</v>
      </c>
      <c r="T206" s="136">
        <f>S206*H206</f>
        <v>0</v>
      </c>
      <c r="AR206" s="137" t="s">
        <v>149</v>
      </c>
      <c r="AT206" s="137" t="s">
        <v>144</v>
      </c>
      <c r="AU206" s="137" t="s">
        <v>143</v>
      </c>
      <c r="AY206" s="15" t="s">
        <v>141</v>
      </c>
      <c r="BE206" s="138">
        <f>IF(N206="základní",J206,0)</f>
        <v>0</v>
      </c>
      <c r="BF206" s="138">
        <f>IF(N206="snížená",J206,0)</f>
        <v>24796.799999999999</v>
      </c>
      <c r="BG206" s="138">
        <f>IF(N206="zákl. přenesená",J206,0)</f>
        <v>0</v>
      </c>
      <c r="BH206" s="138">
        <f>IF(N206="sníž. přenesená",J206,0)</f>
        <v>0</v>
      </c>
      <c r="BI206" s="138">
        <f>IF(N206="nulová",J206,0)</f>
        <v>0</v>
      </c>
      <c r="BJ206" s="15" t="s">
        <v>143</v>
      </c>
      <c r="BK206" s="138">
        <f>ROUND(I206*H206,2)</f>
        <v>24796.799999999999</v>
      </c>
      <c r="BL206" s="15" t="s">
        <v>149</v>
      </c>
      <c r="BM206" s="137" t="s">
        <v>373</v>
      </c>
    </row>
    <row r="207" spans="2:65" s="1" customFormat="1" ht="24.2" customHeight="1">
      <c r="B207" s="126"/>
      <c r="C207" s="139" t="s">
        <v>374</v>
      </c>
      <c r="D207" s="139" t="s">
        <v>207</v>
      </c>
      <c r="E207" s="140" t="s">
        <v>375</v>
      </c>
      <c r="F207" s="141" t="s">
        <v>376</v>
      </c>
      <c r="G207" s="142" t="s">
        <v>193</v>
      </c>
      <c r="H207" s="143">
        <v>635.04</v>
      </c>
      <c r="I207" s="144">
        <v>33.299999999999997</v>
      </c>
      <c r="J207" s="144">
        <f>ROUND(I207*H207,2)</f>
        <v>21146.83</v>
      </c>
      <c r="K207" s="141" t="s">
        <v>148</v>
      </c>
      <c r="L207" s="145"/>
      <c r="M207" s="146" t="s">
        <v>1</v>
      </c>
      <c r="N207" s="147" t="s">
        <v>39</v>
      </c>
      <c r="O207" s="135">
        <v>0</v>
      </c>
      <c r="P207" s="135">
        <f>O207*H207</f>
        <v>0</v>
      </c>
      <c r="Q207" s="135">
        <v>4.0000000000000003E-5</v>
      </c>
      <c r="R207" s="135">
        <f>Q207*H207</f>
        <v>2.54016E-2</v>
      </c>
      <c r="S207" s="135">
        <v>0</v>
      </c>
      <c r="T207" s="136">
        <f>S207*H207</f>
        <v>0</v>
      </c>
      <c r="AR207" s="137" t="s">
        <v>172</v>
      </c>
      <c r="AT207" s="137" t="s">
        <v>207</v>
      </c>
      <c r="AU207" s="137" t="s">
        <v>143</v>
      </c>
      <c r="AY207" s="15" t="s">
        <v>141</v>
      </c>
      <c r="BE207" s="138">
        <f>IF(N207="základní",J207,0)</f>
        <v>0</v>
      </c>
      <c r="BF207" s="138">
        <f>IF(N207="snížená",J207,0)</f>
        <v>21146.83</v>
      </c>
      <c r="BG207" s="138">
        <f>IF(N207="zákl. přenesená",J207,0)</f>
        <v>0</v>
      </c>
      <c r="BH207" s="138">
        <f>IF(N207="sníž. přenesená",J207,0)</f>
        <v>0</v>
      </c>
      <c r="BI207" s="138">
        <f>IF(N207="nulová",J207,0)</f>
        <v>0</v>
      </c>
      <c r="BJ207" s="15" t="s">
        <v>143</v>
      </c>
      <c r="BK207" s="138">
        <f>ROUND(I207*H207,2)</f>
        <v>21146.83</v>
      </c>
      <c r="BL207" s="15" t="s">
        <v>149</v>
      </c>
      <c r="BM207" s="137" t="s">
        <v>377</v>
      </c>
    </row>
    <row r="208" spans="2:65" s="12" customFormat="1">
      <c r="B208" s="148"/>
      <c r="D208" s="149" t="s">
        <v>363</v>
      </c>
      <c r="F208" s="150" t="s">
        <v>1144</v>
      </c>
      <c r="H208" s="151">
        <v>635.04</v>
      </c>
      <c r="L208" s="148"/>
      <c r="M208" s="152"/>
      <c r="T208" s="153"/>
      <c r="AT208" s="154" t="s">
        <v>363</v>
      </c>
      <c r="AU208" s="154" t="s">
        <v>143</v>
      </c>
      <c r="AV208" s="12" t="s">
        <v>143</v>
      </c>
      <c r="AW208" s="12" t="s">
        <v>3</v>
      </c>
      <c r="AX208" s="12" t="s">
        <v>81</v>
      </c>
      <c r="AY208" s="154" t="s">
        <v>141</v>
      </c>
    </row>
    <row r="209" spans="2:65" s="1" customFormat="1" ht="37.9" customHeight="1">
      <c r="B209" s="126"/>
      <c r="C209" s="127" t="s">
        <v>379</v>
      </c>
      <c r="D209" s="127" t="s">
        <v>144</v>
      </c>
      <c r="E209" s="128" t="s">
        <v>380</v>
      </c>
      <c r="F209" s="129" t="s">
        <v>381</v>
      </c>
      <c r="G209" s="130" t="s">
        <v>157</v>
      </c>
      <c r="H209" s="131">
        <v>877.38</v>
      </c>
      <c r="I209" s="132">
        <v>895</v>
      </c>
      <c r="J209" s="132">
        <f>ROUND(I209*H209,2)</f>
        <v>785255.1</v>
      </c>
      <c r="K209" s="129" t="s">
        <v>148</v>
      </c>
      <c r="L209" s="27"/>
      <c r="M209" s="133" t="s">
        <v>1</v>
      </c>
      <c r="N209" s="134" t="s">
        <v>39</v>
      </c>
      <c r="O209" s="135">
        <v>1.08</v>
      </c>
      <c r="P209" s="135">
        <f>O209*H209</f>
        <v>947.57040000000006</v>
      </c>
      <c r="Q209" s="135">
        <v>8.6800000000000002E-3</v>
      </c>
      <c r="R209" s="135">
        <f>Q209*H209</f>
        <v>7.6156584000000001</v>
      </c>
      <c r="S209" s="135">
        <v>0</v>
      </c>
      <c r="T209" s="136">
        <f>S209*H209</f>
        <v>0</v>
      </c>
      <c r="AR209" s="137" t="s">
        <v>149</v>
      </c>
      <c r="AT209" s="137" t="s">
        <v>144</v>
      </c>
      <c r="AU209" s="137" t="s">
        <v>143</v>
      </c>
      <c r="AY209" s="15" t="s">
        <v>141</v>
      </c>
      <c r="BE209" s="138">
        <f>IF(N209="základní",J209,0)</f>
        <v>0</v>
      </c>
      <c r="BF209" s="138">
        <f>IF(N209="snížená",J209,0)</f>
        <v>785255.1</v>
      </c>
      <c r="BG209" s="138">
        <f>IF(N209="zákl. přenesená",J209,0)</f>
        <v>0</v>
      </c>
      <c r="BH209" s="138">
        <f>IF(N209="sníž. přenesená",J209,0)</f>
        <v>0</v>
      </c>
      <c r="BI209" s="138">
        <f>IF(N209="nulová",J209,0)</f>
        <v>0</v>
      </c>
      <c r="BJ209" s="15" t="s">
        <v>143</v>
      </c>
      <c r="BK209" s="138">
        <f>ROUND(I209*H209,2)</f>
        <v>785255.1</v>
      </c>
      <c r="BL209" s="15" t="s">
        <v>149</v>
      </c>
      <c r="BM209" s="137" t="s">
        <v>382</v>
      </c>
    </row>
    <row r="210" spans="2:65" s="1" customFormat="1" ht="16.5" customHeight="1">
      <c r="B210" s="126"/>
      <c r="C210" s="139" t="s">
        <v>383</v>
      </c>
      <c r="D210" s="139" t="s">
        <v>207</v>
      </c>
      <c r="E210" s="140" t="s">
        <v>384</v>
      </c>
      <c r="F210" s="141" t="s">
        <v>385</v>
      </c>
      <c r="G210" s="142" t="s">
        <v>157</v>
      </c>
      <c r="H210" s="143">
        <v>894.92700000000002</v>
      </c>
      <c r="I210" s="144">
        <v>543</v>
      </c>
      <c r="J210" s="144">
        <f>ROUND(I210*H210,2)</f>
        <v>485945.36</v>
      </c>
      <c r="K210" s="141" t="s">
        <v>148</v>
      </c>
      <c r="L210" s="145"/>
      <c r="M210" s="146" t="s">
        <v>1</v>
      </c>
      <c r="N210" s="147" t="s">
        <v>39</v>
      </c>
      <c r="O210" s="135">
        <v>0</v>
      </c>
      <c r="P210" s="135">
        <f>O210*H210</f>
        <v>0</v>
      </c>
      <c r="Q210" s="135">
        <v>3.0000000000000001E-3</v>
      </c>
      <c r="R210" s="135">
        <f>Q210*H210</f>
        <v>2.6847810000000001</v>
      </c>
      <c r="S210" s="135">
        <v>0</v>
      </c>
      <c r="T210" s="136">
        <f>S210*H210</f>
        <v>0</v>
      </c>
      <c r="AR210" s="137" t="s">
        <v>172</v>
      </c>
      <c r="AT210" s="137" t="s">
        <v>207</v>
      </c>
      <c r="AU210" s="137" t="s">
        <v>143</v>
      </c>
      <c r="AY210" s="15" t="s">
        <v>141</v>
      </c>
      <c r="BE210" s="138">
        <f>IF(N210="základní",J210,0)</f>
        <v>0</v>
      </c>
      <c r="BF210" s="138">
        <f>IF(N210="snížená",J210,0)</f>
        <v>485945.36</v>
      </c>
      <c r="BG210" s="138">
        <f>IF(N210="zákl. přenesená",J210,0)</f>
        <v>0</v>
      </c>
      <c r="BH210" s="138">
        <f>IF(N210="sníž. přenesená",J210,0)</f>
        <v>0</v>
      </c>
      <c r="BI210" s="138">
        <f>IF(N210="nulová",J210,0)</f>
        <v>0</v>
      </c>
      <c r="BJ210" s="15" t="s">
        <v>143</v>
      </c>
      <c r="BK210" s="138">
        <f>ROUND(I210*H210,2)</f>
        <v>485945.36</v>
      </c>
      <c r="BL210" s="15" t="s">
        <v>149</v>
      </c>
      <c r="BM210" s="137" t="s">
        <v>386</v>
      </c>
    </row>
    <row r="211" spans="2:65" s="12" customFormat="1">
      <c r="B211" s="148"/>
      <c r="D211" s="149" t="s">
        <v>363</v>
      </c>
      <c r="F211" s="150" t="s">
        <v>1145</v>
      </c>
      <c r="H211" s="151">
        <v>894.92700000000002</v>
      </c>
      <c r="L211" s="148"/>
      <c r="M211" s="152"/>
      <c r="T211" s="153"/>
      <c r="AT211" s="154" t="s">
        <v>363</v>
      </c>
      <c r="AU211" s="154" t="s">
        <v>143</v>
      </c>
      <c r="AV211" s="12" t="s">
        <v>143</v>
      </c>
      <c r="AW211" s="12" t="s">
        <v>3</v>
      </c>
      <c r="AX211" s="12" t="s">
        <v>81</v>
      </c>
      <c r="AY211" s="154" t="s">
        <v>141</v>
      </c>
    </row>
    <row r="212" spans="2:65" s="1" customFormat="1" ht="24.2" customHeight="1">
      <c r="B212" s="126"/>
      <c r="C212" s="127" t="s">
        <v>388</v>
      </c>
      <c r="D212" s="127" t="s">
        <v>144</v>
      </c>
      <c r="E212" s="128" t="s">
        <v>389</v>
      </c>
      <c r="F212" s="129" t="s">
        <v>390</v>
      </c>
      <c r="G212" s="130" t="s">
        <v>193</v>
      </c>
      <c r="H212" s="131">
        <v>103.2</v>
      </c>
      <c r="I212" s="132">
        <v>137</v>
      </c>
      <c r="J212" s="132">
        <f>ROUND(I212*H212,2)</f>
        <v>14138.4</v>
      </c>
      <c r="K212" s="129" t="s">
        <v>148</v>
      </c>
      <c r="L212" s="27"/>
      <c r="M212" s="133" t="s">
        <v>1</v>
      </c>
      <c r="N212" s="134" t="s">
        <v>39</v>
      </c>
      <c r="O212" s="135">
        <v>0.23</v>
      </c>
      <c r="P212" s="135">
        <f>O212*H212</f>
        <v>23.736000000000001</v>
      </c>
      <c r="Q212" s="135">
        <v>3.0000000000000001E-5</v>
      </c>
      <c r="R212" s="135">
        <f>Q212*H212</f>
        <v>3.0960000000000002E-3</v>
      </c>
      <c r="S212" s="135">
        <v>0</v>
      </c>
      <c r="T212" s="136">
        <f>S212*H212</f>
        <v>0</v>
      </c>
      <c r="AR212" s="137" t="s">
        <v>149</v>
      </c>
      <c r="AT212" s="137" t="s">
        <v>144</v>
      </c>
      <c r="AU212" s="137" t="s">
        <v>143</v>
      </c>
      <c r="AY212" s="15" t="s">
        <v>141</v>
      </c>
      <c r="BE212" s="138">
        <f>IF(N212="základní",J212,0)</f>
        <v>0</v>
      </c>
      <c r="BF212" s="138">
        <f>IF(N212="snížená",J212,0)</f>
        <v>14138.4</v>
      </c>
      <c r="BG212" s="138">
        <f>IF(N212="zákl. přenesená",J212,0)</f>
        <v>0</v>
      </c>
      <c r="BH212" s="138">
        <f>IF(N212="sníž. přenesená",J212,0)</f>
        <v>0</v>
      </c>
      <c r="BI212" s="138">
        <f>IF(N212="nulová",J212,0)</f>
        <v>0</v>
      </c>
      <c r="BJ212" s="15" t="s">
        <v>143</v>
      </c>
      <c r="BK212" s="138">
        <f>ROUND(I212*H212,2)</f>
        <v>14138.4</v>
      </c>
      <c r="BL212" s="15" t="s">
        <v>149</v>
      </c>
      <c r="BM212" s="137" t="s">
        <v>391</v>
      </c>
    </row>
    <row r="213" spans="2:65" s="1" customFormat="1" ht="24.2" customHeight="1">
      <c r="B213" s="126"/>
      <c r="C213" s="139" t="s">
        <v>392</v>
      </c>
      <c r="D213" s="139" t="s">
        <v>207</v>
      </c>
      <c r="E213" s="140" t="s">
        <v>393</v>
      </c>
      <c r="F213" s="141" t="s">
        <v>394</v>
      </c>
      <c r="G213" s="142" t="s">
        <v>193</v>
      </c>
      <c r="H213" s="143">
        <v>108.36</v>
      </c>
      <c r="I213" s="144">
        <v>122</v>
      </c>
      <c r="J213" s="144">
        <f>ROUND(I213*H213,2)</f>
        <v>13219.92</v>
      </c>
      <c r="K213" s="141" t="s">
        <v>148</v>
      </c>
      <c r="L213" s="145"/>
      <c r="M213" s="146" t="s">
        <v>1</v>
      </c>
      <c r="N213" s="147" t="s">
        <v>39</v>
      </c>
      <c r="O213" s="135">
        <v>0</v>
      </c>
      <c r="P213" s="135">
        <f>O213*H213</f>
        <v>0</v>
      </c>
      <c r="Q213" s="135">
        <v>7.2000000000000005E-4</v>
      </c>
      <c r="R213" s="135">
        <f>Q213*H213</f>
        <v>7.8019200000000011E-2</v>
      </c>
      <c r="S213" s="135">
        <v>0</v>
      </c>
      <c r="T213" s="136">
        <f>S213*H213</f>
        <v>0</v>
      </c>
      <c r="AR213" s="137" t="s">
        <v>172</v>
      </c>
      <c r="AT213" s="137" t="s">
        <v>207</v>
      </c>
      <c r="AU213" s="137" t="s">
        <v>143</v>
      </c>
      <c r="AY213" s="15" t="s">
        <v>141</v>
      </c>
      <c r="BE213" s="138">
        <f>IF(N213="základní",J213,0)</f>
        <v>0</v>
      </c>
      <c r="BF213" s="138">
        <f>IF(N213="snížená",J213,0)</f>
        <v>13219.92</v>
      </c>
      <c r="BG213" s="138">
        <f>IF(N213="zákl. přenesená",J213,0)</f>
        <v>0</v>
      </c>
      <c r="BH213" s="138">
        <f>IF(N213="sníž. přenesená",J213,0)</f>
        <v>0</v>
      </c>
      <c r="BI213" s="138">
        <f>IF(N213="nulová",J213,0)</f>
        <v>0</v>
      </c>
      <c r="BJ213" s="15" t="s">
        <v>143</v>
      </c>
      <c r="BK213" s="138">
        <f>ROUND(I213*H213,2)</f>
        <v>13219.92</v>
      </c>
      <c r="BL213" s="15" t="s">
        <v>149</v>
      </c>
      <c r="BM213" s="137" t="s">
        <v>395</v>
      </c>
    </row>
    <row r="214" spans="2:65" s="12" customFormat="1">
      <c r="B214" s="148"/>
      <c r="D214" s="149" t="s">
        <v>363</v>
      </c>
      <c r="F214" s="150" t="s">
        <v>1146</v>
      </c>
      <c r="H214" s="151">
        <v>108.36</v>
      </c>
      <c r="L214" s="148"/>
      <c r="M214" s="152"/>
      <c r="T214" s="153"/>
      <c r="AT214" s="154" t="s">
        <v>363</v>
      </c>
      <c r="AU214" s="154" t="s">
        <v>143</v>
      </c>
      <c r="AV214" s="12" t="s">
        <v>143</v>
      </c>
      <c r="AW214" s="12" t="s">
        <v>3</v>
      </c>
      <c r="AX214" s="12" t="s">
        <v>81</v>
      </c>
      <c r="AY214" s="154" t="s">
        <v>141</v>
      </c>
    </row>
    <row r="215" spans="2:65" s="1" customFormat="1" ht="24.2" customHeight="1">
      <c r="B215" s="126"/>
      <c r="C215" s="127" t="s">
        <v>397</v>
      </c>
      <c r="D215" s="127" t="s">
        <v>144</v>
      </c>
      <c r="E215" s="128" t="s">
        <v>398</v>
      </c>
      <c r="F215" s="129" t="s">
        <v>399</v>
      </c>
      <c r="G215" s="130" t="s">
        <v>157</v>
      </c>
      <c r="H215" s="131">
        <v>877.38</v>
      </c>
      <c r="I215" s="132">
        <v>435</v>
      </c>
      <c r="J215" s="132">
        <f t="shared" ref="J215:J221" si="40">ROUND(I215*H215,2)</f>
        <v>381660.3</v>
      </c>
      <c r="K215" s="129" t="s">
        <v>368</v>
      </c>
      <c r="L215" s="27"/>
      <c r="M215" s="133" t="s">
        <v>1</v>
      </c>
      <c r="N215" s="134" t="s">
        <v>39</v>
      </c>
      <c r="O215" s="135">
        <v>0.245</v>
      </c>
      <c r="P215" s="135">
        <f t="shared" ref="P215:P221" si="41">O215*H215</f>
        <v>214.9581</v>
      </c>
      <c r="Q215" s="135">
        <v>4.7800000000000004E-3</v>
      </c>
      <c r="R215" s="135">
        <f t="shared" ref="R215:R221" si="42">Q215*H215</f>
        <v>4.1938764000000006</v>
      </c>
      <c r="S215" s="135">
        <v>0</v>
      </c>
      <c r="T215" s="136">
        <f t="shared" ref="T215:T221" si="43">S215*H215</f>
        <v>0</v>
      </c>
      <c r="AR215" s="137" t="s">
        <v>149</v>
      </c>
      <c r="AT215" s="137" t="s">
        <v>144</v>
      </c>
      <c r="AU215" s="137" t="s">
        <v>143</v>
      </c>
      <c r="AY215" s="15" t="s">
        <v>141</v>
      </c>
      <c r="BE215" s="138">
        <f t="shared" ref="BE215:BE221" si="44">IF(N215="základní",J215,0)</f>
        <v>0</v>
      </c>
      <c r="BF215" s="138">
        <f t="shared" ref="BF215:BF221" si="45">IF(N215="snížená",J215,0)</f>
        <v>381660.3</v>
      </c>
      <c r="BG215" s="138">
        <f t="shared" ref="BG215:BG221" si="46">IF(N215="zákl. přenesená",J215,0)</f>
        <v>0</v>
      </c>
      <c r="BH215" s="138">
        <f t="shared" ref="BH215:BH221" si="47">IF(N215="sníž. přenesená",J215,0)</f>
        <v>0</v>
      </c>
      <c r="BI215" s="138">
        <f t="shared" ref="BI215:BI221" si="48">IF(N215="nulová",J215,0)</f>
        <v>0</v>
      </c>
      <c r="BJ215" s="15" t="s">
        <v>143</v>
      </c>
      <c r="BK215" s="138">
        <f t="shared" ref="BK215:BK221" si="49">ROUND(I215*H215,2)</f>
        <v>381660.3</v>
      </c>
      <c r="BL215" s="15" t="s">
        <v>149</v>
      </c>
      <c r="BM215" s="137" t="s">
        <v>400</v>
      </c>
    </row>
    <row r="216" spans="2:65" s="1" customFormat="1" ht="24.2" customHeight="1">
      <c r="B216" s="126"/>
      <c r="C216" s="127" t="s">
        <v>401</v>
      </c>
      <c r="D216" s="127" t="s">
        <v>144</v>
      </c>
      <c r="E216" s="128" t="s">
        <v>402</v>
      </c>
      <c r="F216" s="129" t="s">
        <v>403</v>
      </c>
      <c r="G216" s="130" t="s">
        <v>157</v>
      </c>
      <c r="H216" s="131">
        <v>61.415999999999997</v>
      </c>
      <c r="I216" s="132">
        <v>500</v>
      </c>
      <c r="J216" s="132">
        <f t="shared" si="40"/>
        <v>30708</v>
      </c>
      <c r="K216" s="129" t="s">
        <v>368</v>
      </c>
      <c r="L216" s="27"/>
      <c r="M216" s="133" t="s">
        <v>1</v>
      </c>
      <c r="N216" s="134" t="s">
        <v>39</v>
      </c>
      <c r="O216" s="135">
        <v>0.38500000000000001</v>
      </c>
      <c r="P216" s="135">
        <f t="shared" si="41"/>
        <v>23.645160000000001</v>
      </c>
      <c r="Q216" s="135">
        <v>4.7800000000000004E-3</v>
      </c>
      <c r="R216" s="135">
        <f t="shared" si="42"/>
        <v>0.29356848000000002</v>
      </c>
      <c r="S216" s="135">
        <v>0</v>
      </c>
      <c r="T216" s="136">
        <f t="shared" si="43"/>
        <v>0</v>
      </c>
      <c r="AR216" s="137" t="s">
        <v>149</v>
      </c>
      <c r="AT216" s="137" t="s">
        <v>144</v>
      </c>
      <c r="AU216" s="137" t="s">
        <v>143</v>
      </c>
      <c r="AY216" s="15" t="s">
        <v>141</v>
      </c>
      <c r="BE216" s="138">
        <f t="shared" si="44"/>
        <v>0</v>
      </c>
      <c r="BF216" s="138">
        <f t="shared" si="45"/>
        <v>30708</v>
      </c>
      <c r="BG216" s="138">
        <f t="shared" si="46"/>
        <v>0</v>
      </c>
      <c r="BH216" s="138">
        <f t="shared" si="47"/>
        <v>0</v>
      </c>
      <c r="BI216" s="138">
        <f t="shared" si="48"/>
        <v>0</v>
      </c>
      <c r="BJ216" s="15" t="s">
        <v>143</v>
      </c>
      <c r="BK216" s="138">
        <f t="shared" si="49"/>
        <v>30708</v>
      </c>
      <c r="BL216" s="15" t="s">
        <v>149</v>
      </c>
      <c r="BM216" s="137" t="s">
        <v>404</v>
      </c>
    </row>
    <row r="217" spans="2:65" s="1" customFormat="1" ht="24.2" customHeight="1">
      <c r="B217" s="126"/>
      <c r="C217" s="127" t="s">
        <v>405</v>
      </c>
      <c r="D217" s="127" t="s">
        <v>144</v>
      </c>
      <c r="E217" s="128" t="s">
        <v>406</v>
      </c>
      <c r="F217" s="129" t="s">
        <v>407</v>
      </c>
      <c r="G217" s="130" t="s">
        <v>193</v>
      </c>
      <c r="H217" s="131">
        <v>38.808</v>
      </c>
      <c r="I217" s="132">
        <v>90.1</v>
      </c>
      <c r="J217" s="132">
        <f t="shared" si="40"/>
        <v>3496.6</v>
      </c>
      <c r="K217" s="129" t="s">
        <v>148</v>
      </c>
      <c r="L217" s="27"/>
      <c r="M217" s="133" t="s">
        <v>1</v>
      </c>
      <c r="N217" s="134" t="s">
        <v>39</v>
      </c>
      <c r="O217" s="135">
        <v>0.15</v>
      </c>
      <c r="P217" s="135">
        <f t="shared" si="41"/>
        <v>5.8212000000000002</v>
      </c>
      <c r="Q217" s="135">
        <v>2.0650000000000002E-2</v>
      </c>
      <c r="R217" s="135">
        <f t="shared" si="42"/>
        <v>0.80138520000000002</v>
      </c>
      <c r="S217" s="135">
        <v>0</v>
      </c>
      <c r="T217" s="136">
        <f t="shared" si="43"/>
        <v>0</v>
      </c>
      <c r="AR217" s="137" t="s">
        <v>149</v>
      </c>
      <c r="AT217" s="137" t="s">
        <v>144</v>
      </c>
      <c r="AU217" s="137" t="s">
        <v>143</v>
      </c>
      <c r="AY217" s="15" t="s">
        <v>141</v>
      </c>
      <c r="BE217" s="138">
        <f t="shared" si="44"/>
        <v>0</v>
      </c>
      <c r="BF217" s="138">
        <f t="shared" si="45"/>
        <v>3496.6</v>
      </c>
      <c r="BG217" s="138">
        <f t="shared" si="46"/>
        <v>0</v>
      </c>
      <c r="BH217" s="138">
        <f t="shared" si="47"/>
        <v>0</v>
      </c>
      <c r="BI217" s="138">
        <f t="shared" si="48"/>
        <v>0</v>
      </c>
      <c r="BJ217" s="15" t="s">
        <v>143</v>
      </c>
      <c r="BK217" s="138">
        <f t="shared" si="49"/>
        <v>3496.6</v>
      </c>
      <c r="BL217" s="15" t="s">
        <v>149</v>
      </c>
      <c r="BM217" s="137" t="s">
        <v>408</v>
      </c>
    </row>
    <row r="218" spans="2:65" s="1" customFormat="1" ht="24.2" customHeight="1">
      <c r="B218" s="126"/>
      <c r="C218" s="127" t="s">
        <v>409</v>
      </c>
      <c r="D218" s="127" t="s">
        <v>144</v>
      </c>
      <c r="E218" s="128" t="s">
        <v>410</v>
      </c>
      <c r="F218" s="129" t="s">
        <v>411</v>
      </c>
      <c r="G218" s="130" t="s">
        <v>157</v>
      </c>
      <c r="H218" s="131">
        <v>308.21300000000002</v>
      </c>
      <c r="I218" s="132">
        <v>35.9</v>
      </c>
      <c r="J218" s="132">
        <f t="shared" si="40"/>
        <v>11064.85</v>
      </c>
      <c r="K218" s="129" t="s">
        <v>148</v>
      </c>
      <c r="L218" s="27"/>
      <c r="M218" s="133" t="s">
        <v>1</v>
      </c>
      <c r="N218" s="134" t="s">
        <v>39</v>
      </c>
      <c r="O218" s="135">
        <v>0.06</v>
      </c>
      <c r="P218" s="135">
        <f t="shared" si="41"/>
        <v>18.49278</v>
      </c>
      <c r="Q218" s="135">
        <v>0</v>
      </c>
      <c r="R218" s="135">
        <f t="shared" si="42"/>
        <v>0</v>
      </c>
      <c r="S218" s="135">
        <v>0</v>
      </c>
      <c r="T218" s="136">
        <f t="shared" si="43"/>
        <v>0</v>
      </c>
      <c r="AR218" s="137" t="s">
        <v>149</v>
      </c>
      <c r="AT218" s="137" t="s">
        <v>144</v>
      </c>
      <c r="AU218" s="137" t="s">
        <v>143</v>
      </c>
      <c r="AY218" s="15" t="s">
        <v>141</v>
      </c>
      <c r="BE218" s="138">
        <f t="shared" si="44"/>
        <v>0</v>
      </c>
      <c r="BF218" s="138">
        <f t="shared" si="45"/>
        <v>11064.85</v>
      </c>
      <c r="BG218" s="138">
        <f t="shared" si="46"/>
        <v>0</v>
      </c>
      <c r="BH218" s="138">
        <f t="shared" si="47"/>
        <v>0</v>
      </c>
      <c r="BI218" s="138">
        <f t="shared" si="48"/>
        <v>0</v>
      </c>
      <c r="BJ218" s="15" t="s">
        <v>143</v>
      </c>
      <c r="BK218" s="138">
        <f t="shared" si="49"/>
        <v>11064.85</v>
      </c>
      <c r="BL218" s="15" t="s">
        <v>149</v>
      </c>
      <c r="BM218" s="137" t="s">
        <v>412</v>
      </c>
    </row>
    <row r="219" spans="2:65" s="1" customFormat="1" ht="24.2" customHeight="1">
      <c r="B219" s="126"/>
      <c r="C219" s="127" t="s">
        <v>413</v>
      </c>
      <c r="D219" s="127" t="s">
        <v>144</v>
      </c>
      <c r="E219" s="128" t="s">
        <v>414</v>
      </c>
      <c r="F219" s="129" t="s">
        <v>415</v>
      </c>
      <c r="G219" s="130" t="s">
        <v>162</v>
      </c>
      <c r="H219" s="131">
        <v>92.165999999999997</v>
      </c>
      <c r="I219" s="132">
        <v>4650</v>
      </c>
      <c r="J219" s="132">
        <f t="shared" si="40"/>
        <v>428571.9</v>
      </c>
      <c r="K219" s="129" t="s">
        <v>148</v>
      </c>
      <c r="L219" s="27"/>
      <c r="M219" s="133" t="s">
        <v>1</v>
      </c>
      <c r="N219" s="134" t="s">
        <v>39</v>
      </c>
      <c r="O219" s="135">
        <v>3.2130000000000001</v>
      </c>
      <c r="P219" s="135">
        <f t="shared" si="41"/>
        <v>296.12935800000002</v>
      </c>
      <c r="Q219" s="135">
        <v>2.45329</v>
      </c>
      <c r="R219" s="135">
        <f t="shared" si="42"/>
        <v>226.10992614</v>
      </c>
      <c r="S219" s="135">
        <v>0</v>
      </c>
      <c r="T219" s="136">
        <f t="shared" si="43"/>
        <v>0</v>
      </c>
      <c r="AR219" s="137" t="s">
        <v>149</v>
      </c>
      <c r="AT219" s="137" t="s">
        <v>144</v>
      </c>
      <c r="AU219" s="137" t="s">
        <v>143</v>
      </c>
      <c r="AY219" s="15" t="s">
        <v>141</v>
      </c>
      <c r="BE219" s="138">
        <f t="shared" si="44"/>
        <v>0</v>
      </c>
      <c r="BF219" s="138">
        <f t="shared" si="45"/>
        <v>428571.9</v>
      </c>
      <c r="BG219" s="138">
        <f t="shared" si="46"/>
        <v>0</v>
      </c>
      <c r="BH219" s="138">
        <f t="shared" si="47"/>
        <v>0</v>
      </c>
      <c r="BI219" s="138">
        <f t="shared" si="48"/>
        <v>0</v>
      </c>
      <c r="BJ219" s="15" t="s">
        <v>143</v>
      </c>
      <c r="BK219" s="138">
        <f t="shared" si="49"/>
        <v>428571.9</v>
      </c>
      <c r="BL219" s="15" t="s">
        <v>149</v>
      </c>
      <c r="BM219" s="137" t="s">
        <v>416</v>
      </c>
    </row>
    <row r="220" spans="2:65" s="1" customFormat="1" ht="16.5" customHeight="1">
      <c r="B220" s="126"/>
      <c r="C220" s="127" t="s">
        <v>417</v>
      </c>
      <c r="D220" s="127" t="s">
        <v>144</v>
      </c>
      <c r="E220" s="128" t="s">
        <v>418</v>
      </c>
      <c r="F220" s="129" t="s">
        <v>419</v>
      </c>
      <c r="G220" s="130" t="s">
        <v>157</v>
      </c>
      <c r="H220" s="131">
        <v>650.88</v>
      </c>
      <c r="I220" s="132">
        <v>16.899999999999999</v>
      </c>
      <c r="J220" s="132">
        <f t="shared" si="40"/>
        <v>10999.87</v>
      </c>
      <c r="K220" s="129" t="s">
        <v>148</v>
      </c>
      <c r="L220" s="27"/>
      <c r="M220" s="133" t="s">
        <v>1</v>
      </c>
      <c r="N220" s="134" t="s">
        <v>39</v>
      </c>
      <c r="O220" s="135">
        <v>2.5000000000000001E-2</v>
      </c>
      <c r="P220" s="135">
        <f t="shared" si="41"/>
        <v>16.272000000000002</v>
      </c>
      <c r="Q220" s="135">
        <v>1.2999999999999999E-4</v>
      </c>
      <c r="R220" s="135">
        <f t="shared" si="42"/>
        <v>8.4614399999999992E-2</v>
      </c>
      <c r="S220" s="135">
        <v>0</v>
      </c>
      <c r="T220" s="136">
        <f t="shared" si="43"/>
        <v>0</v>
      </c>
      <c r="AR220" s="137" t="s">
        <v>149</v>
      </c>
      <c r="AT220" s="137" t="s">
        <v>144</v>
      </c>
      <c r="AU220" s="137" t="s">
        <v>143</v>
      </c>
      <c r="AY220" s="15" t="s">
        <v>141</v>
      </c>
      <c r="BE220" s="138">
        <f t="shared" si="44"/>
        <v>0</v>
      </c>
      <c r="BF220" s="138">
        <f t="shared" si="45"/>
        <v>10999.87</v>
      </c>
      <c r="BG220" s="138">
        <f t="shared" si="46"/>
        <v>0</v>
      </c>
      <c r="BH220" s="138">
        <f t="shared" si="47"/>
        <v>0</v>
      </c>
      <c r="BI220" s="138">
        <f t="shared" si="48"/>
        <v>0</v>
      </c>
      <c r="BJ220" s="15" t="s">
        <v>143</v>
      </c>
      <c r="BK220" s="138">
        <f t="shared" si="49"/>
        <v>10999.87</v>
      </c>
      <c r="BL220" s="15" t="s">
        <v>149</v>
      </c>
      <c r="BM220" s="137" t="s">
        <v>420</v>
      </c>
    </row>
    <row r="221" spans="2:65" s="1" customFormat="1" ht="33" customHeight="1">
      <c r="B221" s="126"/>
      <c r="C221" s="127" t="s">
        <v>421</v>
      </c>
      <c r="D221" s="127" t="s">
        <v>144</v>
      </c>
      <c r="E221" s="128" t="s">
        <v>422</v>
      </c>
      <c r="F221" s="129" t="s">
        <v>423</v>
      </c>
      <c r="G221" s="130" t="s">
        <v>193</v>
      </c>
      <c r="H221" s="131">
        <v>683.42399999999998</v>
      </c>
      <c r="I221" s="132">
        <v>21.9</v>
      </c>
      <c r="J221" s="132">
        <f t="shared" si="40"/>
        <v>14966.99</v>
      </c>
      <c r="K221" s="129" t="s">
        <v>148</v>
      </c>
      <c r="L221" s="27"/>
      <c r="M221" s="133" t="s">
        <v>1</v>
      </c>
      <c r="N221" s="134" t="s">
        <v>39</v>
      </c>
      <c r="O221" s="135">
        <v>0.03</v>
      </c>
      <c r="P221" s="135">
        <f t="shared" si="41"/>
        <v>20.50272</v>
      </c>
      <c r="Q221" s="135">
        <v>2.0000000000000002E-5</v>
      </c>
      <c r="R221" s="135">
        <f t="shared" si="42"/>
        <v>1.366848E-2</v>
      </c>
      <c r="S221" s="135">
        <v>0</v>
      </c>
      <c r="T221" s="136">
        <f t="shared" si="43"/>
        <v>0</v>
      </c>
      <c r="AR221" s="137" t="s">
        <v>149</v>
      </c>
      <c r="AT221" s="137" t="s">
        <v>144</v>
      </c>
      <c r="AU221" s="137" t="s">
        <v>143</v>
      </c>
      <c r="AY221" s="15" t="s">
        <v>141</v>
      </c>
      <c r="BE221" s="138">
        <f t="shared" si="44"/>
        <v>0</v>
      </c>
      <c r="BF221" s="138">
        <f t="shared" si="45"/>
        <v>14966.99</v>
      </c>
      <c r="BG221" s="138">
        <f t="shared" si="46"/>
        <v>0</v>
      </c>
      <c r="BH221" s="138">
        <f t="shared" si="47"/>
        <v>0</v>
      </c>
      <c r="BI221" s="138">
        <f t="shared" si="48"/>
        <v>0</v>
      </c>
      <c r="BJ221" s="15" t="s">
        <v>143</v>
      </c>
      <c r="BK221" s="138">
        <f t="shared" si="49"/>
        <v>14966.99</v>
      </c>
      <c r="BL221" s="15" t="s">
        <v>149</v>
      </c>
      <c r="BM221" s="137" t="s">
        <v>424</v>
      </c>
    </row>
    <row r="222" spans="2:65" s="11" customFormat="1" ht="22.9" customHeight="1">
      <c r="B222" s="115"/>
      <c r="D222" s="116" t="s">
        <v>72</v>
      </c>
      <c r="E222" s="124" t="s">
        <v>176</v>
      </c>
      <c r="F222" s="124" t="s">
        <v>425</v>
      </c>
      <c r="J222" s="125">
        <f>BK222</f>
        <v>806156.84000000008</v>
      </c>
      <c r="L222" s="115"/>
      <c r="M222" s="119"/>
      <c r="P222" s="120">
        <f>SUM(P223:P241)</f>
        <v>805.03940699999998</v>
      </c>
      <c r="R222" s="120">
        <f>SUM(R223:R241)</f>
        <v>0.97636518999999999</v>
      </c>
      <c r="T222" s="121">
        <f>SUM(T223:T241)</f>
        <v>0</v>
      </c>
      <c r="AR222" s="116" t="s">
        <v>81</v>
      </c>
      <c r="AT222" s="122" t="s">
        <v>72</v>
      </c>
      <c r="AU222" s="122" t="s">
        <v>81</v>
      </c>
      <c r="AY222" s="116" t="s">
        <v>141</v>
      </c>
      <c r="BK222" s="123">
        <f>SUM(BK223:BK241)</f>
        <v>806156.84000000008</v>
      </c>
    </row>
    <row r="223" spans="2:65" s="1" customFormat="1" ht="16.5" customHeight="1">
      <c r="B223" s="126"/>
      <c r="C223" s="127" t="s">
        <v>426</v>
      </c>
      <c r="D223" s="127" t="s">
        <v>144</v>
      </c>
      <c r="E223" s="128" t="s">
        <v>427</v>
      </c>
      <c r="F223" s="129" t="s">
        <v>428</v>
      </c>
      <c r="G223" s="130" t="s">
        <v>429</v>
      </c>
      <c r="H223" s="131">
        <v>0</v>
      </c>
      <c r="I223" s="132">
        <v>750000</v>
      </c>
      <c r="J223" s="132">
        <f t="shared" ref="J223:J241" si="50">ROUND(I223*H223,2)</f>
        <v>0</v>
      </c>
      <c r="K223" s="129" t="s">
        <v>1</v>
      </c>
      <c r="L223" s="27"/>
      <c r="M223" s="133" t="s">
        <v>1</v>
      </c>
      <c r="N223" s="134" t="s">
        <v>39</v>
      </c>
      <c r="O223" s="135">
        <v>0</v>
      </c>
      <c r="P223" s="135">
        <f t="shared" ref="P223:P241" si="51">O223*H223</f>
        <v>0</v>
      </c>
      <c r="Q223" s="135">
        <v>0</v>
      </c>
      <c r="R223" s="135">
        <f t="shared" ref="R223:R241" si="52">Q223*H223</f>
        <v>0</v>
      </c>
      <c r="S223" s="135">
        <v>0</v>
      </c>
      <c r="T223" s="136">
        <f t="shared" ref="T223:T241" si="53">S223*H223</f>
        <v>0</v>
      </c>
      <c r="AR223" s="137" t="s">
        <v>149</v>
      </c>
      <c r="AT223" s="137" t="s">
        <v>144</v>
      </c>
      <c r="AU223" s="137" t="s">
        <v>143</v>
      </c>
      <c r="AY223" s="15" t="s">
        <v>141</v>
      </c>
      <c r="BE223" s="138">
        <f t="shared" ref="BE223:BE241" si="54">IF(N223="základní",J223,0)</f>
        <v>0</v>
      </c>
      <c r="BF223" s="138">
        <f t="shared" ref="BF223:BF241" si="55">IF(N223="snížená",J223,0)</f>
        <v>0</v>
      </c>
      <c r="BG223" s="138">
        <f t="shared" ref="BG223:BG241" si="56">IF(N223="zákl. přenesená",J223,0)</f>
        <v>0</v>
      </c>
      <c r="BH223" s="138">
        <f t="shared" ref="BH223:BH241" si="57">IF(N223="sníž. přenesená",J223,0)</f>
        <v>0</v>
      </c>
      <c r="BI223" s="138">
        <f t="shared" ref="BI223:BI241" si="58">IF(N223="nulová",J223,0)</f>
        <v>0</v>
      </c>
      <c r="BJ223" s="15" t="s">
        <v>143</v>
      </c>
      <c r="BK223" s="138">
        <f t="shared" ref="BK223:BK241" si="59">ROUND(I223*H223,2)</f>
        <v>0</v>
      </c>
      <c r="BL223" s="15" t="s">
        <v>149</v>
      </c>
      <c r="BM223" s="137" t="s">
        <v>430</v>
      </c>
    </row>
    <row r="224" spans="2:65" s="1" customFormat="1" ht="16.5" customHeight="1">
      <c r="B224" s="126"/>
      <c r="C224" s="127" t="s">
        <v>431</v>
      </c>
      <c r="D224" s="127" t="s">
        <v>144</v>
      </c>
      <c r="E224" s="128" t="s">
        <v>432</v>
      </c>
      <c r="F224" s="129" t="s">
        <v>433</v>
      </c>
      <c r="G224" s="130" t="s">
        <v>429</v>
      </c>
      <c r="H224" s="131">
        <v>0</v>
      </c>
      <c r="I224" s="132">
        <v>158000</v>
      </c>
      <c r="J224" s="132">
        <f t="shared" si="50"/>
        <v>0</v>
      </c>
      <c r="K224" s="129" t="s">
        <v>1</v>
      </c>
      <c r="L224" s="27"/>
      <c r="M224" s="133" t="s">
        <v>1</v>
      </c>
      <c r="N224" s="134" t="s">
        <v>39</v>
      </c>
      <c r="O224" s="135">
        <v>0</v>
      </c>
      <c r="P224" s="135">
        <f t="shared" si="51"/>
        <v>0</v>
      </c>
      <c r="Q224" s="135">
        <v>0</v>
      </c>
      <c r="R224" s="135">
        <f t="shared" si="52"/>
        <v>0</v>
      </c>
      <c r="S224" s="135">
        <v>0</v>
      </c>
      <c r="T224" s="136">
        <f t="shared" si="53"/>
        <v>0</v>
      </c>
      <c r="AR224" s="137" t="s">
        <v>149</v>
      </c>
      <c r="AT224" s="137" t="s">
        <v>144</v>
      </c>
      <c r="AU224" s="137" t="s">
        <v>143</v>
      </c>
      <c r="AY224" s="15" t="s">
        <v>141</v>
      </c>
      <c r="BE224" s="138">
        <f t="shared" si="54"/>
        <v>0</v>
      </c>
      <c r="BF224" s="138">
        <f t="shared" si="55"/>
        <v>0</v>
      </c>
      <c r="BG224" s="138">
        <f t="shared" si="56"/>
        <v>0</v>
      </c>
      <c r="BH224" s="138">
        <f t="shared" si="57"/>
        <v>0</v>
      </c>
      <c r="BI224" s="138">
        <f t="shared" si="58"/>
        <v>0</v>
      </c>
      <c r="BJ224" s="15" t="s">
        <v>143</v>
      </c>
      <c r="BK224" s="138">
        <f t="shared" si="59"/>
        <v>0</v>
      </c>
      <c r="BL224" s="15" t="s">
        <v>149</v>
      </c>
      <c r="BM224" s="137" t="s">
        <v>434</v>
      </c>
    </row>
    <row r="225" spans="2:65" s="1" customFormat="1" ht="16.5" customHeight="1">
      <c r="B225" s="126"/>
      <c r="C225" s="127" t="s">
        <v>435</v>
      </c>
      <c r="D225" s="127" t="s">
        <v>144</v>
      </c>
      <c r="E225" s="128" t="s">
        <v>436</v>
      </c>
      <c r="F225" s="129" t="s">
        <v>437</v>
      </c>
      <c r="G225" s="130" t="s">
        <v>429</v>
      </c>
      <c r="H225" s="131">
        <v>0</v>
      </c>
      <c r="I225" s="132">
        <v>250000</v>
      </c>
      <c r="J225" s="132">
        <f t="shared" si="50"/>
        <v>0</v>
      </c>
      <c r="K225" s="129" t="s">
        <v>1</v>
      </c>
      <c r="L225" s="27"/>
      <c r="M225" s="133" t="s">
        <v>1</v>
      </c>
      <c r="N225" s="134" t="s">
        <v>39</v>
      </c>
      <c r="O225" s="135">
        <v>0</v>
      </c>
      <c r="P225" s="135">
        <f t="shared" si="51"/>
        <v>0</v>
      </c>
      <c r="Q225" s="135">
        <v>0</v>
      </c>
      <c r="R225" s="135">
        <f t="shared" si="52"/>
        <v>0</v>
      </c>
      <c r="S225" s="135">
        <v>0</v>
      </c>
      <c r="T225" s="136">
        <f t="shared" si="53"/>
        <v>0</v>
      </c>
      <c r="AR225" s="137" t="s">
        <v>149</v>
      </c>
      <c r="AT225" s="137" t="s">
        <v>144</v>
      </c>
      <c r="AU225" s="137" t="s">
        <v>143</v>
      </c>
      <c r="AY225" s="15" t="s">
        <v>141</v>
      </c>
      <c r="BE225" s="138">
        <f t="shared" si="54"/>
        <v>0</v>
      </c>
      <c r="BF225" s="138">
        <f t="shared" si="55"/>
        <v>0</v>
      </c>
      <c r="BG225" s="138">
        <f t="shared" si="56"/>
        <v>0</v>
      </c>
      <c r="BH225" s="138">
        <f t="shared" si="57"/>
        <v>0</v>
      </c>
      <c r="BI225" s="138">
        <f t="shared" si="58"/>
        <v>0</v>
      </c>
      <c r="BJ225" s="15" t="s">
        <v>143</v>
      </c>
      <c r="BK225" s="138">
        <f t="shared" si="59"/>
        <v>0</v>
      </c>
      <c r="BL225" s="15" t="s">
        <v>149</v>
      </c>
      <c r="BM225" s="137" t="s">
        <v>438</v>
      </c>
    </row>
    <row r="226" spans="2:65" s="1" customFormat="1" ht="16.5" customHeight="1">
      <c r="B226" s="126"/>
      <c r="C226" s="127" t="s">
        <v>439</v>
      </c>
      <c r="D226" s="127" t="s">
        <v>144</v>
      </c>
      <c r="E226" s="128" t="s">
        <v>440</v>
      </c>
      <c r="F226" s="129" t="s">
        <v>441</v>
      </c>
      <c r="G226" s="130" t="s">
        <v>429</v>
      </c>
      <c r="H226" s="131">
        <v>0</v>
      </c>
      <c r="I226" s="132">
        <v>150000</v>
      </c>
      <c r="J226" s="132">
        <f t="shared" si="50"/>
        <v>0</v>
      </c>
      <c r="K226" s="129" t="s">
        <v>1</v>
      </c>
      <c r="L226" s="27"/>
      <c r="M226" s="133" t="s">
        <v>1</v>
      </c>
      <c r="N226" s="134" t="s">
        <v>39</v>
      </c>
      <c r="O226" s="135">
        <v>0</v>
      </c>
      <c r="P226" s="135">
        <f t="shared" si="51"/>
        <v>0</v>
      </c>
      <c r="Q226" s="135">
        <v>0</v>
      </c>
      <c r="R226" s="135">
        <f t="shared" si="52"/>
        <v>0</v>
      </c>
      <c r="S226" s="135">
        <v>0</v>
      </c>
      <c r="T226" s="136">
        <f t="shared" si="53"/>
        <v>0</v>
      </c>
      <c r="AR226" s="137" t="s">
        <v>149</v>
      </c>
      <c r="AT226" s="137" t="s">
        <v>144</v>
      </c>
      <c r="AU226" s="137" t="s">
        <v>143</v>
      </c>
      <c r="AY226" s="15" t="s">
        <v>141</v>
      </c>
      <c r="BE226" s="138">
        <f t="shared" si="54"/>
        <v>0</v>
      </c>
      <c r="BF226" s="138">
        <f t="shared" si="55"/>
        <v>0</v>
      </c>
      <c r="BG226" s="138">
        <f t="shared" si="56"/>
        <v>0</v>
      </c>
      <c r="BH226" s="138">
        <f t="shared" si="57"/>
        <v>0</v>
      </c>
      <c r="BI226" s="138">
        <f t="shared" si="58"/>
        <v>0</v>
      </c>
      <c r="BJ226" s="15" t="s">
        <v>143</v>
      </c>
      <c r="BK226" s="138">
        <f t="shared" si="59"/>
        <v>0</v>
      </c>
      <c r="BL226" s="15" t="s">
        <v>149</v>
      </c>
      <c r="BM226" s="137" t="s">
        <v>442</v>
      </c>
    </row>
    <row r="227" spans="2:65" s="1" customFormat="1" ht="16.5" customHeight="1">
      <c r="B227" s="126"/>
      <c r="C227" s="127" t="s">
        <v>443</v>
      </c>
      <c r="D227" s="127" t="s">
        <v>144</v>
      </c>
      <c r="E227" s="128" t="s">
        <v>444</v>
      </c>
      <c r="F227" s="129" t="s">
        <v>445</v>
      </c>
      <c r="G227" s="130" t="s">
        <v>429</v>
      </c>
      <c r="H227" s="131">
        <v>0</v>
      </c>
      <c r="I227" s="132">
        <v>275000</v>
      </c>
      <c r="J227" s="132">
        <f t="shared" si="50"/>
        <v>0</v>
      </c>
      <c r="K227" s="129" t="s">
        <v>1</v>
      </c>
      <c r="L227" s="27"/>
      <c r="M227" s="133" t="s">
        <v>1</v>
      </c>
      <c r="N227" s="134" t="s">
        <v>39</v>
      </c>
      <c r="O227" s="135">
        <v>0</v>
      </c>
      <c r="P227" s="135">
        <f t="shared" si="51"/>
        <v>0</v>
      </c>
      <c r="Q227" s="135">
        <v>0</v>
      </c>
      <c r="R227" s="135">
        <f t="shared" si="52"/>
        <v>0</v>
      </c>
      <c r="S227" s="135">
        <v>0</v>
      </c>
      <c r="T227" s="136">
        <f t="shared" si="53"/>
        <v>0</v>
      </c>
      <c r="AR227" s="137" t="s">
        <v>149</v>
      </c>
      <c r="AT227" s="137" t="s">
        <v>144</v>
      </c>
      <c r="AU227" s="137" t="s">
        <v>143</v>
      </c>
      <c r="AY227" s="15" t="s">
        <v>141</v>
      </c>
      <c r="BE227" s="138">
        <f t="shared" si="54"/>
        <v>0</v>
      </c>
      <c r="BF227" s="138">
        <f t="shared" si="55"/>
        <v>0</v>
      </c>
      <c r="BG227" s="138">
        <f t="shared" si="56"/>
        <v>0</v>
      </c>
      <c r="BH227" s="138">
        <f t="shared" si="57"/>
        <v>0</v>
      </c>
      <c r="BI227" s="138">
        <f t="shared" si="58"/>
        <v>0</v>
      </c>
      <c r="BJ227" s="15" t="s">
        <v>143</v>
      </c>
      <c r="BK227" s="138">
        <f t="shared" si="59"/>
        <v>0</v>
      </c>
      <c r="BL227" s="15" t="s">
        <v>149</v>
      </c>
      <c r="BM227" s="137" t="s">
        <v>446</v>
      </c>
    </row>
    <row r="228" spans="2:65" s="1" customFormat="1" ht="16.5" customHeight="1">
      <c r="B228" s="126"/>
      <c r="C228" s="127" t="s">
        <v>447</v>
      </c>
      <c r="D228" s="127" t="s">
        <v>144</v>
      </c>
      <c r="E228" s="128" t="s">
        <v>448</v>
      </c>
      <c r="F228" s="129" t="s">
        <v>449</v>
      </c>
      <c r="G228" s="130" t="s">
        <v>450</v>
      </c>
      <c r="H228" s="131">
        <v>8</v>
      </c>
      <c r="I228" s="132">
        <v>1700</v>
      </c>
      <c r="J228" s="132">
        <f t="shared" si="50"/>
        <v>13600</v>
      </c>
      <c r="K228" s="129" t="s">
        <v>1</v>
      </c>
      <c r="L228" s="27"/>
      <c r="M228" s="133" t="s">
        <v>1</v>
      </c>
      <c r="N228" s="134" t="s">
        <v>39</v>
      </c>
      <c r="O228" s="135">
        <v>0</v>
      </c>
      <c r="P228" s="135">
        <f t="shared" si="51"/>
        <v>0</v>
      </c>
      <c r="Q228" s="135">
        <v>0</v>
      </c>
      <c r="R228" s="135">
        <f t="shared" si="52"/>
        <v>0</v>
      </c>
      <c r="S228" s="135">
        <v>0</v>
      </c>
      <c r="T228" s="136">
        <f t="shared" si="53"/>
        <v>0</v>
      </c>
      <c r="AR228" s="137" t="s">
        <v>149</v>
      </c>
      <c r="AT228" s="137" t="s">
        <v>144</v>
      </c>
      <c r="AU228" s="137" t="s">
        <v>143</v>
      </c>
      <c r="AY228" s="15" t="s">
        <v>141</v>
      </c>
      <c r="BE228" s="138">
        <f t="shared" si="54"/>
        <v>0</v>
      </c>
      <c r="BF228" s="138">
        <f t="shared" si="55"/>
        <v>13600</v>
      </c>
      <c r="BG228" s="138">
        <f t="shared" si="56"/>
        <v>0</v>
      </c>
      <c r="BH228" s="138">
        <f t="shared" si="57"/>
        <v>0</v>
      </c>
      <c r="BI228" s="138">
        <f t="shared" si="58"/>
        <v>0</v>
      </c>
      <c r="BJ228" s="15" t="s">
        <v>143</v>
      </c>
      <c r="BK228" s="138">
        <f t="shared" si="59"/>
        <v>13600</v>
      </c>
      <c r="BL228" s="15" t="s">
        <v>149</v>
      </c>
      <c r="BM228" s="137" t="s">
        <v>451</v>
      </c>
    </row>
    <row r="229" spans="2:65" s="1" customFormat="1" ht="37.9" customHeight="1">
      <c r="B229" s="126"/>
      <c r="C229" s="127" t="s">
        <v>452</v>
      </c>
      <c r="D229" s="127" t="s">
        <v>144</v>
      </c>
      <c r="E229" s="128" t="s">
        <v>453</v>
      </c>
      <c r="F229" s="129" t="s">
        <v>454</v>
      </c>
      <c r="G229" s="130" t="s">
        <v>455</v>
      </c>
      <c r="H229" s="131">
        <v>68.16</v>
      </c>
      <c r="I229" s="132">
        <v>760</v>
      </c>
      <c r="J229" s="132">
        <f t="shared" si="50"/>
        <v>51801.599999999999</v>
      </c>
      <c r="K229" s="129" t="s">
        <v>1</v>
      </c>
      <c r="L229" s="27"/>
      <c r="M229" s="133" t="s">
        <v>1</v>
      </c>
      <c r="N229" s="134" t="s">
        <v>39</v>
      </c>
      <c r="O229" s="135">
        <v>0</v>
      </c>
      <c r="P229" s="135">
        <f t="shared" si="51"/>
        <v>0</v>
      </c>
      <c r="Q229" s="135">
        <v>0</v>
      </c>
      <c r="R229" s="135">
        <f t="shared" si="52"/>
        <v>0</v>
      </c>
      <c r="S229" s="135">
        <v>0</v>
      </c>
      <c r="T229" s="136">
        <f t="shared" si="53"/>
        <v>0</v>
      </c>
      <c r="AR229" s="137" t="s">
        <v>149</v>
      </c>
      <c r="AT229" s="137" t="s">
        <v>144</v>
      </c>
      <c r="AU229" s="137" t="s">
        <v>143</v>
      </c>
      <c r="AY229" s="15" t="s">
        <v>141</v>
      </c>
      <c r="BE229" s="138">
        <f t="shared" si="54"/>
        <v>0</v>
      </c>
      <c r="BF229" s="138">
        <f t="shared" si="55"/>
        <v>51801.599999999999</v>
      </c>
      <c r="BG229" s="138">
        <f t="shared" si="56"/>
        <v>0</v>
      </c>
      <c r="BH229" s="138">
        <f t="shared" si="57"/>
        <v>0</v>
      </c>
      <c r="BI229" s="138">
        <f t="shared" si="58"/>
        <v>0</v>
      </c>
      <c r="BJ229" s="15" t="s">
        <v>143</v>
      </c>
      <c r="BK229" s="138">
        <f t="shared" si="59"/>
        <v>51801.599999999999</v>
      </c>
      <c r="BL229" s="15" t="s">
        <v>149</v>
      </c>
      <c r="BM229" s="137" t="s">
        <v>456</v>
      </c>
    </row>
    <row r="230" spans="2:65" s="1" customFormat="1" ht="24.2" customHeight="1">
      <c r="B230" s="126"/>
      <c r="C230" s="127" t="s">
        <v>457</v>
      </c>
      <c r="D230" s="127" t="s">
        <v>144</v>
      </c>
      <c r="E230" s="128" t="s">
        <v>458</v>
      </c>
      <c r="F230" s="129" t="s">
        <v>459</v>
      </c>
      <c r="G230" s="130" t="s">
        <v>455</v>
      </c>
      <c r="H230" s="131">
        <v>57.6</v>
      </c>
      <c r="I230" s="132">
        <v>2300</v>
      </c>
      <c r="J230" s="132">
        <f t="shared" si="50"/>
        <v>132480</v>
      </c>
      <c r="K230" s="129" t="s">
        <v>1</v>
      </c>
      <c r="L230" s="27"/>
      <c r="M230" s="133" t="s">
        <v>1</v>
      </c>
      <c r="N230" s="134" t="s">
        <v>39</v>
      </c>
      <c r="O230" s="135">
        <v>0</v>
      </c>
      <c r="P230" s="135">
        <f t="shared" si="51"/>
        <v>0</v>
      </c>
      <c r="Q230" s="135">
        <v>0</v>
      </c>
      <c r="R230" s="135">
        <f t="shared" si="52"/>
        <v>0</v>
      </c>
      <c r="S230" s="135">
        <v>0</v>
      </c>
      <c r="T230" s="136">
        <f t="shared" si="53"/>
        <v>0</v>
      </c>
      <c r="AR230" s="137" t="s">
        <v>149</v>
      </c>
      <c r="AT230" s="137" t="s">
        <v>144</v>
      </c>
      <c r="AU230" s="137" t="s">
        <v>143</v>
      </c>
      <c r="AY230" s="15" t="s">
        <v>141</v>
      </c>
      <c r="BE230" s="138">
        <f t="shared" si="54"/>
        <v>0</v>
      </c>
      <c r="BF230" s="138">
        <f t="shared" si="55"/>
        <v>132480</v>
      </c>
      <c r="BG230" s="138">
        <f t="shared" si="56"/>
        <v>0</v>
      </c>
      <c r="BH230" s="138">
        <f t="shared" si="57"/>
        <v>0</v>
      </c>
      <c r="BI230" s="138">
        <f t="shared" si="58"/>
        <v>0</v>
      </c>
      <c r="BJ230" s="15" t="s">
        <v>143</v>
      </c>
      <c r="BK230" s="138">
        <f t="shared" si="59"/>
        <v>132480</v>
      </c>
      <c r="BL230" s="15" t="s">
        <v>149</v>
      </c>
      <c r="BM230" s="137" t="s">
        <v>460</v>
      </c>
    </row>
    <row r="231" spans="2:65" s="1" customFormat="1" ht="16.5" customHeight="1">
      <c r="B231" s="126"/>
      <c r="C231" s="127" t="s">
        <v>461</v>
      </c>
      <c r="D231" s="127" t="s">
        <v>144</v>
      </c>
      <c r="E231" s="128" t="s">
        <v>462</v>
      </c>
      <c r="F231" s="129" t="s">
        <v>463</v>
      </c>
      <c r="G231" s="130" t="s">
        <v>157</v>
      </c>
      <c r="H231" s="131">
        <v>8.5009999999999994</v>
      </c>
      <c r="I231" s="132">
        <v>1800</v>
      </c>
      <c r="J231" s="132">
        <f t="shared" si="50"/>
        <v>15301.8</v>
      </c>
      <c r="K231" s="129" t="s">
        <v>1</v>
      </c>
      <c r="L231" s="27"/>
      <c r="M231" s="133" t="s">
        <v>1</v>
      </c>
      <c r="N231" s="134" t="s">
        <v>39</v>
      </c>
      <c r="O231" s="135">
        <v>0</v>
      </c>
      <c r="P231" s="135">
        <f t="shared" si="51"/>
        <v>0</v>
      </c>
      <c r="Q231" s="135">
        <v>0</v>
      </c>
      <c r="R231" s="135">
        <f t="shared" si="52"/>
        <v>0</v>
      </c>
      <c r="S231" s="135">
        <v>0</v>
      </c>
      <c r="T231" s="136">
        <f t="shared" si="53"/>
        <v>0</v>
      </c>
      <c r="AR231" s="137" t="s">
        <v>149</v>
      </c>
      <c r="AT231" s="137" t="s">
        <v>144</v>
      </c>
      <c r="AU231" s="137" t="s">
        <v>143</v>
      </c>
      <c r="AY231" s="15" t="s">
        <v>141</v>
      </c>
      <c r="BE231" s="138">
        <f t="shared" si="54"/>
        <v>0</v>
      </c>
      <c r="BF231" s="138">
        <f t="shared" si="55"/>
        <v>15301.8</v>
      </c>
      <c r="BG231" s="138">
        <f t="shared" si="56"/>
        <v>0</v>
      </c>
      <c r="BH231" s="138">
        <f t="shared" si="57"/>
        <v>0</v>
      </c>
      <c r="BI231" s="138">
        <f t="shared" si="58"/>
        <v>0</v>
      </c>
      <c r="BJ231" s="15" t="s">
        <v>143</v>
      </c>
      <c r="BK231" s="138">
        <f t="shared" si="59"/>
        <v>15301.8</v>
      </c>
      <c r="BL231" s="15" t="s">
        <v>149</v>
      </c>
      <c r="BM231" s="137" t="s">
        <v>464</v>
      </c>
    </row>
    <row r="232" spans="2:65" s="1" customFormat="1" ht="21.75" customHeight="1">
      <c r="B232" s="126"/>
      <c r="C232" s="127" t="s">
        <v>465</v>
      </c>
      <c r="D232" s="127" t="s">
        <v>144</v>
      </c>
      <c r="E232" s="128" t="s">
        <v>466</v>
      </c>
      <c r="F232" s="129" t="s">
        <v>467</v>
      </c>
      <c r="G232" s="130" t="s">
        <v>450</v>
      </c>
      <c r="H232" s="131">
        <v>8</v>
      </c>
      <c r="I232" s="132">
        <v>1400</v>
      </c>
      <c r="J232" s="132">
        <f t="shared" si="50"/>
        <v>11200</v>
      </c>
      <c r="K232" s="129" t="s">
        <v>1</v>
      </c>
      <c r="L232" s="27"/>
      <c r="M232" s="133" t="s">
        <v>1</v>
      </c>
      <c r="N232" s="134" t="s">
        <v>39</v>
      </c>
      <c r="O232" s="135">
        <v>0</v>
      </c>
      <c r="P232" s="135">
        <f t="shared" si="51"/>
        <v>0</v>
      </c>
      <c r="Q232" s="135">
        <v>0</v>
      </c>
      <c r="R232" s="135">
        <f t="shared" si="52"/>
        <v>0</v>
      </c>
      <c r="S232" s="135">
        <v>0</v>
      </c>
      <c r="T232" s="136">
        <f t="shared" si="53"/>
        <v>0</v>
      </c>
      <c r="AR232" s="137" t="s">
        <v>149</v>
      </c>
      <c r="AT232" s="137" t="s">
        <v>144</v>
      </c>
      <c r="AU232" s="137" t="s">
        <v>143</v>
      </c>
      <c r="AY232" s="15" t="s">
        <v>141</v>
      </c>
      <c r="BE232" s="138">
        <f t="shared" si="54"/>
        <v>0</v>
      </c>
      <c r="BF232" s="138">
        <f t="shared" si="55"/>
        <v>11200</v>
      </c>
      <c r="BG232" s="138">
        <f t="shared" si="56"/>
        <v>0</v>
      </c>
      <c r="BH232" s="138">
        <f t="shared" si="57"/>
        <v>0</v>
      </c>
      <c r="BI232" s="138">
        <f t="shared" si="58"/>
        <v>0</v>
      </c>
      <c r="BJ232" s="15" t="s">
        <v>143</v>
      </c>
      <c r="BK232" s="138">
        <f t="shared" si="59"/>
        <v>11200</v>
      </c>
      <c r="BL232" s="15" t="s">
        <v>149</v>
      </c>
      <c r="BM232" s="137" t="s">
        <v>468</v>
      </c>
    </row>
    <row r="233" spans="2:65" s="1" customFormat="1" ht="24.2" customHeight="1">
      <c r="B233" s="126"/>
      <c r="C233" s="127" t="s">
        <v>469</v>
      </c>
      <c r="D233" s="127" t="s">
        <v>144</v>
      </c>
      <c r="E233" s="128" t="s">
        <v>470</v>
      </c>
      <c r="F233" s="129" t="s">
        <v>471</v>
      </c>
      <c r="G233" s="130" t="s">
        <v>157</v>
      </c>
      <c r="H233" s="131">
        <v>650.88</v>
      </c>
      <c r="I233" s="132">
        <v>174</v>
      </c>
      <c r="J233" s="132">
        <f t="shared" si="50"/>
        <v>113253.12</v>
      </c>
      <c r="K233" s="129" t="s">
        <v>148</v>
      </c>
      <c r="L233" s="27"/>
      <c r="M233" s="133" t="s">
        <v>1</v>
      </c>
      <c r="N233" s="134" t="s">
        <v>39</v>
      </c>
      <c r="O233" s="135">
        <v>0.08</v>
      </c>
      <c r="P233" s="135">
        <f t="shared" si="51"/>
        <v>52.070399999999999</v>
      </c>
      <c r="Q233" s="135">
        <v>1.24E-3</v>
      </c>
      <c r="R233" s="135">
        <f t="shared" si="52"/>
        <v>0.80709120000000001</v>
      </c>
      <c r="S233" s="135">
        <v>0</v>
      </c>
      <c r="T233" s="136">
        <f t="shared" si="53"/>
        <v>0</v>
      </c>
      <c r="AR233" s="137" t="s">
        <v>149</v>
      </c>
      <c r="AT233" s="137" t="s">
        <v>144</v>
      </c>
      <c r="AU233" s="137" t="s">
        <v>143</v>
      </c>
      <c r="AY233" s="15" t="s">
        <v>141</v>
      </c>
      <c r="BE233" s="138">
        <f t="shared" si="54"/>
        <v>0</v>
      </c>
      <c r="BF233" s="138">
        <f t="shared" si="55"/>
        <v>113253.12</v>
      </c>
      <c r="BG233" s="138">
        <f t="shared" si="56"/>
        <v>0</v>
      </c>
      <c r="BH233" s="138">
        <f t="shared" si="57"/>
        <v>0</v>
      </c>
      <c r="BI233" s="138">
        <f t="shared" si="58"/>
        <v>0</v>
      </c>
      <c r="BJ233" s="15" t="s">
        <v>143</v>
      </c>
      <c r="BK233" s="138">
        <f t="shared" si="59"/>
        <v>113253.12</v>
      </c>
      <c r="BL233" s="15" t="s">
        <v>149</v>
      </c>
      <c r="BM233" s="137" t="s">
        <v>472</v>
      </c>
    </row>
    <row r="234" spans="2:65" s="1" customFormat="1" ht="33" customHeight="1">
      <c r="B234" s="126"/>
      <c r="C234" s="127" t="s">
        <v>473</v>
      </c>
      <c r="D234" s="127" t="s">
        <v>144</v>
      </c>
      <c r="E234" s="128" t="s">
        <v>474</v>
      </c>
      <c r="F234" s="129" t="s">
        <v>475</v>
      </c>
      <c r="G234" s="130" t="s">
        <v>157</v>
      </c>
      <c r="H234" s="131">
        <v>78964.157000000007</v>
      </c>
      <c r="I234" s="132">
        <v>1.0900000000000001</v>
      </c>
      <c r="J234" s="132">
        <f t="shared" si="50"/>
        <v>86070.93</v>
      </c>
      <c r="K234" s="129" t="s">
        <v>148</v>
      </c>
      <c r="L234" s="27"/>
      <c r="M234" s="133" t="s">
        <v>1</v>
      </c>
      <c r="N234" s="134" t="s">
        <v>39</v>
      </c>
      <c r="O234" s="135">
        <v>0</v>
      </c>
      <c r="P234" s="135">
        <f t="shared" si="51"/>
        <v>0</v>
      </c>
      <c r="Q234" s="135">
        <v>0</v>
      </c>
      <c r="R234" s="135">
        <f t="shared" si="52"/>
        <v>0</v>
      </c>
      <c r="S234" s="135">
        <v>0</v>
      </c>
      <c r="T234" s="136">
        <f t="shared" si="53"/>
        <v>0</v>
      </c>
      <c r="AR234" s="137" t="s">
        <v>149</v>
      </c>
      <c r="AT234" s="137" t="s">
        <v>144</v>
      </c>
      <c r="AU234" s="137" t="s">
        <v>143</v>
      </c>
      <c r="AY234" s="15" t="s">
        <v>141</v>
      </c>
      <c r="BE234" s="138">
        <f t="shared" si="54"/>
        <v>0</v>
      </c>
      <c r="BF234" s="138">
        <f t="shared" si="55"/>
        <v>86070.93</v>
      </c>
      <c r="BG234" s="138">
        <f t="shared" si="56"/>
        <v>0</v>
      </c>
      <c r="BH234" s="138">
        <f t="shared" si="57"/>
        <v>0</v>
      </c>
      <c r="BI234" s="138">
        <f t="shared" si="58"/>
        <v>0</v>
      </c>
      <c r="BJ234" s="15" t="s">
        <v>143</v>
      </c>
      <c r="BK234" s="138">
        <f t="shared" si="59"/>
        <v>86070.93</v>
      </c>
      <c r="BL234" s="15" t="s">
        <v>149</v>
      </c>
      <c r="BM234" s="137" t="s">
        <v>476</v>
      </c>
    </row>
    <row r="235" spans="2:65" s="1" customFormat="1" ht="33" customHeight="1">
      <c r="B235" s="126"/>
      <c r="C235" s="127" t="s">
        <v>477</v>
      </c>
      <c r="D235" s="127" t="s">
        <v>144</v>
      </c>
      <c r="E235" s="128" t="s">
        <v>478</v>
      </c>
      <c r="F235" s="129" t="s">
        <v>479</v>
      </c>
      <c r="G235" s="130" t="s">
        <v>157</v>
      </c>
      <c r="H235" s="131">
        <v>877.38</v>
      </c>
      <c r="I235" s="132">
        <v>47.8</v>
      </c>
      <c r="J235" s="132">
        <f t="shared" si="50"/>
        <v>41938.76</v>
      </c>
      <c r="K235" s="129" t="s">
        <v>148</v>
      </c>
      <c r="L235" s="27"/>
      <c r="M235" s="133" t="s">
        <v>1</v>
      </c>
      <c r="N235" s="134" t="s">
        <v>39</v>
      </c>
      <c r="O235" s="135">
        <v>9.7000000000000003E-2</v>
      </c>
      <c r="P235" s="135">
        <f t="shared" si="51"/>
        <v>85.105860000000007</v>
      </c>
      <c r="Q235" s="135">
        <v>0</v>
      </c>
      <c r="R235" s="135">
        <f t="shared" si="52"/>
        <v>0</v>
      </c>
      <c r="S235" s="135">
        <v>0</v>
      </c>
      <c r="T235" s="136">
        <f t="shared" si="53"/>
        <v>0</v>
      </c>
      <c r="AR235" s="137" t="s">
        <v>149</v>
      </c>
      <c r="AT235" s="137" t="s">
        <v>144</v>
      </c>
      <c r="AU235" s="137" t="s">
        <v>143</v>
      </c>
      <c r="AY235" s="15" t="s">
        <v>141</v>
      </c>
      <c r="BE235" s="138">
        <f t="shared" si="54"/>
        <v>0</v>
      </c>
      <c r="BF235" s="138">
        <f t="shared" si="55"/>
        <v>41938.76</v>
      </c>
      <c r="BG235" s="138">
        <f t="shared" si="56"/>
        <v>0</v>
      </c>
      <c r="BH235" s="138">
        <f t="shared" si="57"/>
        <v>0</v>
      </c>
      <c r="BI235" s="138">
        <f t="shared" si="58"/>
        <v>0</v>
      </c>
      <c r="BJ235" s="15" t="s">
        <v>143</v>
      </c>
      <c r="BK235" s="138">
        <f t="shared" si="59"/>
        <v>41938.76</v>
      </c>
      <c r="BL235" s="15" t="s">
        <v>149</v>
      </c>
      <c r="BM235" s="137" t="s">
        <v>480</v>
      </c>
    </row>
    <row r="236" spans="2:65" s="1" customFormat="1" ht="33" customHeight="1">
      <c r="B236" s="126"/>
      <c r="C236" s="127" t="s">
        <v>481</v>
      </c>
      <c r="D236" s="127" t="s">
        <v>144</v>
      </c>
      <c r="E236" s="128" t="s">
        <v>482</v>
      </c>
      <c r="F236" s="129" t="s">
        <v>483</v>
      </c>
      <c r="G236" s="130" t="s">
        <v>157</v>
      </c>
      <c r="H236" s="131">
        <v>877.38</v>
      </c>
      <c r="I236" s="132">
        <v>78.7</v>
      </c>
      <c r="J236" s="132">
        <f t="shared" si="50"/>
        <v>69049.81</v>
      </c>
      <c r="K236" s="129" t="s">
        <v>148</v>
      </c>
      <c r="L236" s="27"/>
      <c r="M236" s="133" t="s">
        <v>1</v>
      </c>
      <c r="N236" s="134" t="s">
        <v>39</v>
      </c>
      <c r="O236" s="135">
        <v>0.154</v>
      </c>
      <c r="P236" s="135">
        <f t="shared" si="51"/>
        <v>135.11652000000001</v>
      </c>
      <c r="Q236" s="135">
        <v>0</v>
      </c>
      <c r="R236" s="135">
        <f t="shared" si="52"/>
        <v>0</v>
      </c>
      <c r="S236" s="135">
        <v>0</v>
      </c>
      <c r="T236" s="136">
        <f t="shared" si="53"/>
        <v>0</v>
      </c>
      <c r="AR236" s="137" t="s">
        <v>149</v>
      </c>
      <c r="AT236" s="137" t="s">
        <v>144</v>
      </c>
      <c r="AU236" s="137" t="s">
        <v>143</v>
      </c>
      <c r="AY236" s="15" t="s">
        <v>141</v>
      </c>
      <c r="BE236" s="138">
        <f t="shared" si="54"/>
        <v>0</v>
      </c>
      <c r="BF236" s="138">
        <f t="shared" si="55"/>
        <v>69049.81</v>
      </c>
      <c r="BG236" s="138">
        <f t="shared" si="56"/>
        <v>0</v>
      </c>
      <c r="BH236" s="138">
        <f t="shared" si="57"/>
        <v>0</v>
      </c>
      <c r="BI236" s="138">
        <f t="shared" si="58"/>
        <v>0</v>
      </c>
      <c r="BJ236" s="15" t="s">
        <v>143</v>
      </c>
      <c r="BK236" s="138">
        <f t="shared" si="59"/>
        <v>69049.81</v>
      </c>
      <c r="BL236" s="15" t="s">
        <v>149</v>
      </c>
      <c r="BM236" s="137" t="s">
        <v>484</v>
      </c>
    </row>
    <row r="237" spans="2:65" s="1" customFormat="1" ht="16.5" customHeight="1">
      <c r="B237" s="126"/>
      <c r="C237" s="127" t="s">
        <v>485</v>
      </c>
      <c r="D237" s="127" t="s">
        <v>144</v>
      </c>
      <c r="E237" s="128" t="s">
        <v>486</v>
      </c>
      <c r="F237" s="129" t="s">
        <v>487</v>
      </c>
      <c r="G237" s="130" t="s">
        <v>157</v>
      </c>
      <c r="H237" s="131">
        <v>877.38</v>
      </c>
      <c r="I237" s="132">
        <v>20.9</v>
      </c>
      <c r="J237" s="132">
        <f t="shared" si="50"/>
        <v>18337.240000000002</v>
      </c>
      <c r="K237" s="129" t="s">
        <v>148</v>
      </c>
      <c r="L237" s="27"/>
      <c r="M237" s="133" t="s">
        <v>1</v>
      </c>
      <c r="N237" s="134" t="s">
        <v>39</v>
      </c>
      <c r="O237" s="135">
        <v>4.9000000000000002E-2</v>
      </c>
      <c r="P237" s="135">
        <f t="shared" si="51"/>
        <v>42.991620000000005</v>
      </c>
      <c r="Q237" s="135">
        <v>0</v>
      </c>
      <c r="R237" s="135">
        <f t="shared" si="52"/>
        <v>0</v>
      </c>
      <c r="S237" s="135">
        <v>0</v>
      </c>
      <c r="T237" s="136">
        <f t="shared" si="53"/>
        <v>0</v>
      </c>
      <c r="AR237" s="137" t="s">
        <v>149</v>
      </c>
      <c r="AT237" s="137" t="s">
        <v>144</v>
      </c>
      <c r="AU237" s="137" t="s">
        <v>143</v>
      </c>
      <c r="AY237" s="15" t="s">
        <v>141</v>
      </c>
      <c r="BE237" s="138">
        <f t="shared" si="54"/>
        <v>0</v>
      </c>
      <c r="BF237" s="138">
        <f t="shared" si="55"/>
        <v>18337.240000000002</v>
      </c>
      <c r="BG237" s="138">
        <f t="shared" si="56"/>
        <v>0</v>
      </c>
      <c r="BH237" s="138">
        <f t="shared" si="57"/>
        <v>0</v>
      </c>
      <c r="BI237" s="138">
        <f t="shared" si="58"/>
        <v>0</v>
      </c>
      <c r="BJ237" s="15" t="s">
        <v>143</v>
      </c>
      <c r="BK237" s="138">
        <f t="shared" si="59"/>
        <v>18337.240000000002</v>
      </c>
      <c r="BL237" s="15" t="s">
        <v>149</v>
      </c>
      <c r="BM237" s="137" t="s">
        <v>488</v>
      </c>
    </row>
    <row r="238" spans="2:65" s="1" customFormat="1" ht="21.75" customHeight="1">
      <c r="B238" s="126"/>
      <c r="C238" s="127" t="s">
        <v>489</v>
      </c>
      <c r="D238" s="127" t="s">
        <v>144</v>
      </c>
      <c r="E238" s="128" t="s">
        <v>490</v>
      </c>
      <c r="F238" s="129" t="s">
        <v>491</v>
      </c>
      <c r="G238" s="130" t="s">
        <v>157</v>
      </c>
      <c r="H238" s="131">
        <v>78964.157000000007</v>
      </c>
      <c r="I238" s="132">
        <v>0.38</v>
      </c>
      <c r="J238" s="132">
        <f t="shared" si="50"/>
        <v>30006.38</v>
      </c>
      <c r="K238" s="129" t="s">
        <v>148</v>
      </c>
      <c r="L238" s="27"/>
      <c r="M238" s="133" t="s">
        <v>1</v>
      </c>
      <c r="N238" s="134" t="s">
        <v>39</v>
      </c>
      <c r="O238" s="135">
        <v>0</v>
      </c>
      <c r="P238" s="135">
        <f t="shared" si="51"/>
        <v>0</v>
      </c>
      <c r="Q238" s="135">
        <v>0</v>
      </c>
      <c r="R238" s="135">
        <f t="shared" si="52"/>
        <v>0</v>
      </c>
      <c r="S238" s="135">
        <v>0</v>
      </c>
      <c r="T238" s="136">
        <f t="shared" si="53"/>
        <v>0</v>
      </c>
      <c r="AR238" s="137" t="s">
        <v>149</v>
      </c>
      <c r="AT238" s="137" t="s">
        <v>144</v>
      </c>
      <c r="AU238" s="137" t="s">
        <v>143</v>
      </c>
      <c r="AY238" s="15" t="s">
        <v>141</v>
      </c>
      <c r="BE238" s="138">
        <f t="shared" si="54"/>
        <v>0</v>
      </c>
      <c r="BF238" s="138">
        <f t="shared" si="55"/>
        <v>30006.38</v>
      </c>
      <c r="BG238" s="138">
        <f t="shared" si="56"/>
        <v>0</v>
      </c>
      <c r="BH238" s="138">
        <f t="shared" si="57"/>
        <v>0</v>
      </c>
      <c r="BI238" s="138">
        <f t="shared" si="58"/>
        <v>0</v>
      </c>
      <c r="BJ238" s="15" t="s">
        <v>143</v>
      </c>
      <c r="BK238" s="138">
        <f t="shared" si="59"/>
        <v>30006.38</v>
      </c>
      <c r="BL238" s="15" t="s">
        <v>149</v>
      </c>
      <c r="BM238" s="137" t="s">
        <v>492</v>
      </c>
    </row>
    <row r="239" spans="2:65" s="1" customFormat="1" ht="21.75" customHeight="1">
      <c r="B239" s="126"/>
      <c r="C239" s="127" t="s">
        <v>493</v>
      </c>
      <c r="D239" s="127" t="s">
        <v>144</v>
      </c>
      <c r="E239" s="128" t="s">
        <v>494</v>
      </c>
      <c r="F239" s="129" t="s">
        <v>495</v>
      </c>
      <c r="G239" s="130" t="s">
        <v>157</v>
      </c>
      <c r="H239" s="131">
        <v>877.38</v>
      </c>
      <c r="I239" s="132">
        <v>14.1</v>
      </c>
      <c r="J239" s="132">
        <f t="shared" si="50"/>
        <v>12371.06</v>
      </c>
      <c r="K239" s="129" t="s">
        <v>148</v>
      </c>
      <c r="L239" s="27"/>
      <c r="M239" s="133" t="s">
        <v>1</v>
      </c>
      <c r="N239" s="134" t="s">
        <v>39</v>
      </c>
      <c r="O239" s="135">
        <v>3.3000000000000002E-2</v>
      </c>
      <c r="P239" s="135">
        <f t="shared" si="51"/>
        <v>28.95354</v>
      </c>
      <c r="Q239" s="135">
        <v>0</v>
      </c>
      <c r="R239" s="135">
        <f t="shared" si="52"/>
        <v>0</v>
      </c>
      <c r="S239" s="135">
        <v>0</v>
      </c>
      <c r="T239" s="136">
        <f t="shared" si="53"/>
        <v>0</v>
      </c>
      <c r="AR239" s="137" t="s">
        <v>149</v>
      </c>
      <c r="AT239" s="137" t="s">
        <v>144</v>
      </c>
      <c r="AU239" s="137" t="s">
        <v>143</v>
      </c>
      <c r="AY239" s="15" t="s">
        <v>141</v>
      </c>
      <c r="BE239" s="138">
        <f t="shared" si="54"/>
        <v>0</v>
      </c>
      <c r="BF239" s="138">
        <f t="shared" si="55"/>
        <v>12371.06</v>
      </c>
      <c r="BG239" s="138">
        <f t="shared" si="56"/>
        <v>0</v>
      </c>
      <c r="BH239" s="138">
        <f t="shared" si="57"/>
        <v>0</v>
      </c>
      <c r="BI239" s="138">
        <f t="shared" si="58"/>
        <v>0</v>
      </c>
      <c r="BJ239" s="15" t="s">
        <v>143</v>
      </c>
      <c r="BK239" s="138">
        <f t="shared" si="59"/>
        <v>12371.06</v>
      </c>
      <c r="BL239" s="15" t="s">
        <v>149</v>
      </c>
      <c r="BM239" s="137" t="s">
        <v>496</v>
      </c>
    </row>
    <row r="240" spans="2:65" s="1" customFormat="1" ht="33" customHeight="1">
      <c r="B240" s="126"/>
      <c r="C240" s="127" t="s">
        <v>497</v>
      </c>
      <c r="D240" s="127" t="s">
        <v>144</v>
      </c>
      <c r="E240" s="128" t="s">
        <v>498</v>
      </c>
      <c r="F240" s="129" t="s">
        <v>499</v>
      </c>
      <c r="G240" s="130" t="s">
        <v>157</v>
      </c>
      <c r="H240" s="131">
        <v>940.41099999999994</v>
      </c>
      <c r="I240" s="132">
        <v>61.6</v>
      </c>
      <c r="J240" s="132">
        <f t="shared" si="50"/>
        <v>57929.32</v>
      </c>
      <c r="K240" s="129" t="s">
        <v>148</v>
      </c>
      <c r="L240" s="27"/>
      <c r="M240" s="133" t="s">
        <v>1</v>
      </c>
      <c r="N240" s="134" t="s">
        <v>39</v>
      </c>
      <c r="O240" s="135">
        <v>0.105</v>
      </c>
      <c r="P240" s="135">
        <f t="shared" si="51"/>
        <v>98.743154999999987</v>
      </c>
      <c r="Q240" s="135">
        <v>1.2999999999999999E-4</v>
      </c>
      <c r="R240" s="135">
        <f t="shared" si="52"/>
        <v>0.12225342999999998</v>
      </c>
      <c r="S240" s="135">
        <v>0</v>
      </c>
      <c r="T240" s="136">
        <f t="shared" si="53"/>
        <v>0</v>
      </c>
      <c r="AR240" s="137" t="s">
        <v>149</v>
      </c>
      <c r="AT240" s="137" t="s">
        <v>144</v>
      </c>
      <c r="AU240" s="137" t="s">
        <v>143</v>
      </c>
      <c r="AY240" s="15" t="s">
        <v>141</v>
      </c>
      <c r="BE240" s="138">
        <f t="shared" si="54"/>
        <v>0</v>
      </c>
      <c r="BF240" s="138">
        <f t="shared" si="55"/>
        <v>57929.32</v>
      </c>
      <c r="BG240" s="138">
        <f t="shared" si="56"/>
        <v>0</v>
      </c>
      <c r="BH240" s="138">
        <f t="shared" si="57"/>
        <v>0</v>
      </c>
      <c r="BI240" s="138">
        <f t="shared" si="58"/>
        <v>0</v>
      </c>
      <c r="BJ240" s="15" t="s">
        <v>143</v>
      </c>
      <c r="BK240" s="138">
        <f t="shared" si="59"/>
        <v>57929.32</v>
      </c>
      <c r="BL240" s="15" t="s">
        <v>149</v>
      </c>
      <c r="BM240" s="137" t="s">
        <v>500</v>
      </c>
    </row>
    <row r="241" spans="2:65" s="1" customFormat="1" ht="24.2" customHeight="1">
      <c r="B241" s="126"/>
      <c r="C241" s="127" t="s">
        <v>501</v>
      </c>
      <c r="D241" s="127" t="s">
        <v>144</v>
      </c>
      <c r="E241" s="128" t="s">
        <v>502</v>
      </c>
      <c r="F241" s="129" t="s">
        <v>503</v>
      </c>
      <c r="G241" s="130" t="s">
        <v>157</v>
      </c>
      <c r="H241" s="131">
        <v>1175.5139999999999</v>
      </c>
      <c r="I241" s="132">
        <v>130</v>
      </c>
      <c r="J241" s="132">
        <f t="shared" si="50"/>
        <v>152816.82</v>
      </c>
      <c r="K241" s="129" t="s">
        <v>148</v>
      </c>
      <c r="L241" s="27"/>
      <c r="M241" s="133" t="s">
        <v>1</v>
      </c>
      <c r="N241" s="134" t="s">
        <v>39</v>
      </c>
      <c r="O241" s="135">
        <v>0.308</v>
      </c>
      <c r="P241" s="135">
        <f t="shared" si="51"/>
        <v>362.05831199999994</v>
      </c>
      <c r="Q241" s="135">
        <v>4.0000000000000003E-5</v>
      </c>
      <c r="R241" s="135">
        <f t="shared" si="52"/>
        <v>4.7020560000000003E-2</v>
      </c>
      <c r="S241" s="135">
        <v>0</v>
      </c>
      <c r="T241" s="136">
        <f t="shared" si="53"/>
        <v>0</v>
      </c>
      <c r="AR241" s="137" t="s">
        <v>149</v>
      </c>
      <c r="AT241" s="137" t="s">
        <v>144</v>
      </c>
      <c r="AU241" s="137" t="s">
        <v>143</v>
      </c>
      <c r="AY241" s="15" t="s">
        <v>141</v>
      </c>
      <c r="BE241" s="138">
        <f t="shared" si="54"/>
        <v>0</v>
      </c>
      <c r="BF241" s="138">
        <f t="shared" si="55"/>
        <v>152816.82</v>
      </c>
      <c r="BG241" s="138">
        <f t="shared" si="56"/>
        <v>0</v>
      </c>
      <c r="BH241" s="138">
        <f t="shared" si="57"/>
        <v>0</v>
      </c>
      <c r="BI241" s="138">
        <f t="shared" si="58"/>
        <v>0</v>
      </c>
      <c r="BJ241" s="15" t="s">
        <v>143</v>
      </c>
      <c r="BK241" s="138">
        <f t="shared" si="59"/>
        <v>152816.82</v>
      </c>
      <c r="BL241" s="15" t="s">
        <v>149</v>
      </c>
      <c r="BM241" s="137" t="s">
        <v>504</v>
      </c>
    </row>
    <row r="242" spans="2:65" s="11" customFormat="1" ht="22.9" customHeight="1">
      <c r="B242" s="115"/>
      <c r="D242" s="116" t="s">
        <v>72</v>
      </c>
      <c r="E242" s="124" t="s">
        <v>510</v>
      </c>
      <c r="F242" s="124" t="s">
        <v>511</v>
      </c>
      <c r="J242" s="125">
        <f>BK242</f>
        <v>1026216.9</v>
      </c>
      <c r="L242" s="115"/>
      <c r="M242" s="119"/>
      <c r="P242" s="120">
        <f>P243</f>
        <v>959.81462999999997</v>
      </c>
      <c r="R242" s="120">
        <f>R243</f>
        <v>0</v>
      </c>
      <c r="T242" s="121">
        <f>T243</f>
        <v>0</v>
      </c>
      <c r="AR242" s="116" t="s">
        <v>81</v>
      </c>
      <c r="AT242" s="122" t="s">
        <v>72</v>
      </c>
      <c r="AU242" s="122" t="s">
        <v>81</v>
      </c>
      <c r="AY242" s="116" t="s">
        <v>141</v>
      </c>
      <c r="BK242" s="123">
        <f>BK243</f>
        <v>1026216.9</v>
      </c>
    </row>
    <row r="243" spans="2:65" s="1" customFormat="1" ht="16.5" customHeight="1">
      <c r="B243" s="126"/>
      <c r="C243" s="127" t="s">
        <v>512</v>
      </c>
      <c r="D243" s="127" t="s">
        <v>144</v>
      </c>
      <c r="E243" s="128" t="s">
        <v>513</v>
      </c>
      <c r="F243" s="129" t="s">
        <v>514</v>
      </c>
      <c r="G243" s="130" t="s">
        <v>179</v>
      </c>
      <c r="H243" s="131">
        <v>3018.2849999999999</v>
      </c>
      <c r="I243" s="132">
        <v>340</v>
      </c>
      <c r="J243" s="132">
        <f>ROUND(I243*H243,2)</f>
        <v>1026216.9</v>
      </c>
      <c r="K243" s="129" t="s">
        <v>148</v>
      </c>
      <c r="L243" s="27"/>
      <c r="M243" s="133" t="s">
        <v>1</v>
      </c>
      <c r="N243" s="134" t="s">
        <v>39</v>
      </c>
      <c r="O243" s="135">
        <v>0.318</v>
      </c>
      <c r="P243" s="135">
        <f>O243*H243</f>
        <v>959.81462999999997</v>
      </c>
      <c r="Q243" s="135">
        <v>0</v>
      </c>
      <c r="R243" s="135">
        <f>Q243*H243</f>
        <v>0</v>
      </c>
      <c r="S243" s="135">
        <v>0</v>
      </c>
      <c r="T243" s="136">
        <f>S243*H243</f>
        <v>0</v>
      </c>
      <c r="AR243" s="137" t="s">
        <v>149</v>
      </c>
      <c r="AT243" s="137" t="s">
        <v>144</v>
      </c>
      <c r="AU243" s="137" t="s">
        <v>143</v>
      </c>
      <c r="AY243" s="15" t="s">
        <v>141</v>
      </c>
      <c r="BE243" s="138">
        <f>IF(N243="základní",J243,0)</f>
        <v>0</v>
      </c>
      <c r="BF243" s="138">
        <f>IF(N243="snížená",J243,0)</f>
        <v>1026216.9</v>
      </c>
      <c r="BG243" s="138">
        <f>IF(N243="zákl. přenesená",J243,0)</f>
        <v>0</v>
      </c>
      <c r="BH243" s="138">
        <f>IF(N243="sníž. přenesená",J243,0)</f>
        <v>0</v>
      </c>
      <c r="BI243" s="138">
        <f>IF(N243="nulová",J243,0)</f>
        <v>0</v>
      </c>
      <c r="BJ243" s="15" t="s">
        <v>143</v>
      </c>
      <c r="BK243" s="138">
        <f>ROUND(I243*H243,2)</f>
        <v>1026216.9</v>
      </c>
      <c r="BL243" s="15" t="s">
        <v>149</v>
      </c>
      <c r="BM243" s="137" t="s">
        <v>515</v>
      </c>
    </row>
    <row r="244" spans="2:65" s="11" customFormat="1" ht="25.9" customHeight="1">
      <c r="B244" s="115"/>
      <c r="D244" s="116" t="s">
        <v>72</v>
      </c>
      <c r="E244" s="117" t="s">
        <v>516</v>
      </c>
      <c r="F244" s="117" t="s">
        <v>517</v>
      </c>
      <c r="J244" s="118">
        <f>BK244</f>
        <v>31175226.07</v>
      </c>
      <c r="L244" s="115"/>
      <c r="M244" s="119"/>
      <c r="P244" s="120">
        <f>P245+P261+P281+P314+P322+P325+P327+P330+P347+P353+P367+P380+P398+P405+P416+P423</f>
        <v>5914.4874639999998</v>
      </c>
      <c r="R244" s="120">
        <f>R245+R261+R281+R314+R322+R325+R327+R330+R347+R353+R367+R380+R398+R405+R416+R423</f>
        <v>130.51987700999999</v>
      </c>
      <c r="T244" s="121">
        <f>T245+T261+T281+T314+T322+T325+T327+T330+T347+T353+T367+T380+T398+T405+T416+T423</f>
        <v>0</v>
      </c>
      <c r="AR244" s="116" t="s">
        <v>143</v>
      </c>
      <c r="AT244" s="122" t="s">
        <v>72</v>
      </c>
      <c r="AU244" s="122" t="s">
        <v>73</v>
      </c>
      <c r="AY244" s="116" t="s">
        <v>141</v>
      </c>
      <c r="BK244" s="123">
        <f>BK245+BK261+BK281+BK314+BK322+BK325+BK327+BK330+BK347+BK353+BK367+BK380+BK398+BK405+BK416+BK423</f>
        <v>31175226.07</v>
      </c>
    </row>
    <row r="245" spans="2:65" s="11" customFormat="1" ht="22.9" customHeight="1">
      <c r="B245" s="115"/>
      <c r="D245" s="116" t="s">
        <v>72</v>
      </c>
      <c r="E245" s="124" t="s">
        <v>518</v>
      </c>
      <c r="F245" s="124" t="s">
        <v>519</v>
      </c>
      <c r="J245" s="125">
        <f>BK245</f>
        <v>707745.81000000017</v>
      </c>
      <c r="L245" s="115"/>
      <c r="M245" s="119"/>
      <c r="P245" s="120">
        <f>SUM(P246:P260)</f>
        <v>702.15938800000004</v>
      </c>
      <c r="R245" s="120">
        <f>SUM(R246:R260)</f>
        <v>10.847436999999999</v>
      </c>
      <c r="T245" s="121">
        <f>SUM(T246:T260)</f>
        <v>0</v>
      </c>
      <c r="AR245" s="116" t="s">
        <v>143</v>
      </c>
      <c r="AT245" s="122" t="s">
        <v>72</v>
      </c>
      <c r="AU245" s="122" t="s">
        <v>81</v>
      </c>
      <c r="AY245" s="116" t="s">
        <v>141</v>
      </c>
      <c r="BK245" s="123">
        <f>SUM(BK246:BK260)</f>
        <v>707745.81000000017</v>
      </c>
    </row>
    <row r="246" spans="2:65" s="1" customFormat="1" ht="24.2" customHeight="1">
      <c r="B246" s="126"/>
      <c r="C246" s="127" t="s">
        <v>520</v>
      </c>
      <c r="D246" s="127" t="s">
        <v>144</v>
      </c>
      <c r="E246" s="128" t="s">
        <v>521</v>
      </c>
      <c r="F246" s="129" t="s">
        <v>522</v>
      </c>
      <c r="G246" s="130" t="s">
        <v>157</v>
      </c>
      <c r="H246" s="131">
        <v>1431.9359999999999</v>
      </c>
      <c r="I246" s="132">
        <v>11.2</v>
      </c>
      <c r="J246" s="132">
        <f>ROUND(I246*H246,2)</f>
        <v>16037.68</v>
      </c>
      <c r="K246" s="129" t="s">
        <v>148</v>
      </c>
      <c r="L246" s="27"/>
      <c r="M246" s="133" t="s">
        <v>1</v>
      </c>
      <c r="N246" s="134" t="s">
        <v>39</v>
      </c>
      <c r="O246" s="135">
        <v>2.4E-2</v>
      </c>
      <c r="P246" s="135">
        <f>O246*H246</f>
        <v>34.366464000000001</v>
      </c>
      <c r="Q246" s="135">
        <v>0</v>
      </c>
      <c r="R246" s="135">
        <f>Q246*H246</f>
        <v>0</v>
      </c>
      <c r="S246" s="135">
        <v>0</v>
      </c>
      <c r="T246" s="136">
        <f>S246*H246</f>
        <v>0</v>
      </c>
      <c r="AR246" s="137" t="s">
        <v>206</v>
      </c>
      <c r="AT246" s="137" t="s">
        <v>144</v>
      </c>
      <c r="AU246" s="137" t="s">
        <v>143</v>
      </c>
      <c r="AY246" s="15" t="s">
        <v>141</v>
      </c>
      <c r="BE246" s="138">
        <f>IF(N246="základní",J246,0)</f>
        <v>0</v>
      </c>
      <c r="BF246" s="138">
        <f>IF(N246="snížená",J246,0)</f>
        <v>16037.68</v>
      </c>
      <c r="BG246" s="138">
        <f>IF(N246="zákl. přenesená",J246,0)</f>
        <v>0</v>
      </c>
      <c r="BH246" s="138">
        <f>IF(N246="sníž. přenesená",J246,0)</f>
        <v>0</v>
      </c>
      <c r="BI246" s="138">
        <f>IF(N246="nulová",J246,0)</f>
        <v>0</v>
      </c>
      <c r="BJ246" s="15" t="s">
        <v>143</v>
      </c>
      <c r="BK246" s="138">
        <f>ROUND(I246*H246,2)</f>
        <v>16037.68</v>
      </c>
      <c r="BL246" s="15" t="s">
        <v>206</v>
      </c>
      <c r="BM246" s="137" t="s">
        <v>523</v>
      </c>
    </row>
    <row r="247" spans="2:65" s="1" customFormat="1" ht="16.5" customHeight="1">
      <c r="B247" s="126"/>
      <c r="C247" s="139" t="s">
        <v>524</v>
      </c>
      <c r="D247" s="139" t="s">
        <v>207</v>
      </c>
      <c r="E247" s="140" t="s">
        <v>525</v>
      </c>
      <c r="F247" s="141" t="s">
        <v>526</v>
      </c>
      <c r="G247" s="142" t="s">
        <v>179</v>
      </c>
      <c r="H247" s="143">
        <v>0.47299999999999998</v>
      </c>
      <c r="I247" s="144">
        <v>51800</v>
      </c>
      <c r="J247" s="144">
        <f>ROUND(I247*H247,2)</f>
        <v>24501.4</v>
      </c>
      <c r="K247" s="141" t="s">
        <v>148</v>
      </c>
      <c r="L247" s="145"/>
      <c r="M247" s="146" t="s">
        <v>1</v>
      </c>
      <c r="N247" s="147" t="s">
        <v>39</v>
      </c>
      <c r="O247" s="135">
        <v>0</v>
      </c>
      <c r="P247" s="135">
        <f>O247*H247</f>
        <v>0</v>
      </c>
      <c r="Q247" s="135">
        <v>1</v>
      </c>
      <c r="R247" s="135">
        <f>Q247*H247</f>
        <v>0.47299999999999998</v>
      </c>
      <c r="S247" s="135">
        <v>0</v>
      </c>
      <c r="T247" s="136">
        <f>S247*H247</f>
        <v>0</v>
      </c>
      <c r="AR247" s="137" t="s">
        <v>274</v>
      </c>
      <c r="AT247" s="137" t="s">
        <v>207</v>
      </c>
      <c r="AU247" s="137" t="s">
        <v>143</v>
      </c>
      <c r="AY247" s="15" t="s">
        <v>141</v>
      </c>
      <c r="BE247" s="138">
        <f>IF(N247="základní",J247,0)</f>
        <v>0</v>
      </c>
      <c r="BF247" s="138">
        <f>IF(N247="snížená",J247,0)</f>
        <v>24501.4</v>
      </c>
      <c r="BG247" s="138">
        <f>IF(N247="zákl. přenesená",J247,0)</f>
        <v>0</v>
      </c>
      <c r="BH247" s="138">
        <f>IF(N247="sníž. přenesená",J247,0)</f>
        <v>0</v>
      </c>
      <c r="BI247" s="138">
        <f>IF(N247="nulová",J247,0)</f>
        <v>0</v>
      </c>
      <c r="BJ247" s="15" t="s">
        <v>143</v>
      </c>
      <c r="BK247" s="138">
        <f>ROUND(I247*H247,2)</f>
        <v>24501.4</v>
      </c>
      <c r="BL247" s="15" t="s">
        <v>206</v>
      </c>
      <c r="BM247" s="137" t="s">
        <v>527</v>
      </c>
    </row>
    <row r="248" spans="2:65" s="12" customFormat="1">
      <c r="B248" s="148"/>
      <c r="D248" s="149" t="s">
        <v>363</v>
      </c>
      <c r="F248" s="150" t="s">
        <v>1147</v>
      </c>
      <c r="H248" s="151">
        <v>0.47299999999999998</v>
      </c>
      <c r="L248" s="148"/>
      <c r="M248" s="152"/>
      <c r="T248" s="153"/>
      <c r="AT248" s="154" t="s">
        <v>363</v>
      </c>
      <c r="AU248" s="154" t="s">
        <v>143</v>
      </c>
      <c r="AV248" s="12" t="s">
        <v>143</v>
      </c>
      <c r="AW248" s="12" t="s">
        <v>3</v>
      </c>
      <c r="AX248" s="12" t="s">
        <v>81</v>
      </c>
      <c r="AY248" s="154" t="s">
        <v>141</v>
      </c>
    </row>
    <row r="249" spans="2:65" s="1" customFormat="1" ht="24.2" customHeight="1">
      <c r="B249" s="126"/>
      <c r="C249" s="127" t="s">
        <v>529</v>
      </c>
      <c r="D249" s="127" t="s">
        <v>144</v>
      </c>
      <c r="E249" s="128" t="s">
        <v>530</v>
      </c>
      <c r="F249" s="129" t="s">
        <v>531</v>
      </c>
      <c r="G249" s="130" t="s">
        <v>157</v>
      </c>
      <c r="H249" s="131">
        <v>121.93</v>
      </c>
      <c r="I249" s="132">
        <v>24.4</v>
      </c>
      <c r="J249" s="132">
        <f>ROUND(I249*H249,2)</f>
        <v>2975.09</v>
      </c>
      <c r="K249" s="129" t="s">
        <v>148</v>
      </c>
      <c r="L249" s="27"/>
      <c r="M249" s="133" t="s">
        <v>1</v>
      </c>
      <c r="N249" s="134" t="s">
        <v>39</v>
      </c>
      <c r="O249" s="135">
        <v>5.3999999999999999E-2</v>
      </c>
      <c r="P249" s="135">
        <f>O249*H249</f>
        <v>6.5842200000000002</v>
      </c>
      <c r="Q249" s="135">
        <v>0</v>
      </c>
      <c r="R249" s="135">
        <f>Q249*H249</f>
        <v>0</v>
      </c>
      <c r="S249" s="135">
        <v>0</v>
      </c>
      <c r="T249" s="136">
        <f>S249*H249</f>
        <v>0</v>
      </c>
      <c r="AR249" s="137" t="s">
        <v>206</v>
      </c>
      <c r="AT249" s="137" t="s">
        <v>144</v>
      </c>
      <c r="AU249" s="137" t="s">
        <v>143</v>
      </c>
      <c r="AY249" s="15" t="s">
        <v>141</v>
      </c>
      <c r="BE249" s="138">
        <f>IF(N249="základní",J249,0)</f>
        <v>0</v>
      </c>
      <c r="BF249" s="138">
        <f>IF(N249="snížená",J249,0)</f>
        <v>2975.09</v>
      </c>
      <c r="BG249" s="138">
        <f>IF(N249="zákl. přenesená",J249,0)</f>
        <v>0</v>
      </c>
      <c r="BH249" s="138">
        <f>IF(N249="sníž. přenesená",J249,0)</f>
        <v>0</v>
      </c>
      <c r="BI249" s="138">
        <f>IF(N249="nulová",J249,0)</f>
        <v>0</v>
      </c>
      <c r="BJ249" s="15" t="s">
        <v>143</v>
      </c>
      <c r="BK249" s="138">
        <f>ROUND(I249*H249,2)</f>
        <v>2975.09</v>
      </c>
      <c r="BL249" s="15" t="s">
        <v>206</v>
      </c>
      <c r="BM249" s="137" t="s">
        <v>532</v>
      </c>
    </row>
    <row r="250" spans="2:65" s="1" customFormat="1" ht="16.5" customHeight="1">
      <c r="B250" s="126"/>
      <c r="C250" s="139" t="s">
        <v>533</v>
      </c>
      <c r="D250" s="139" t="s">
        <v>207</v>
      </c>
      <c r="E250" s="140" t="s">
        <v>525</v>
      </c>
      <c r="F250" s="141" t="s">
        <v>526</v>
      </c>
      <c r="G250" s="142" t="s">
        <v>179</v>
      </c>
      <c r="H250" s="143">
        <v>4.1000000000000002E-2</v>
      </c>
      <c r="I250" s="144">
        <v>51800</v>
      </c>
      <c r="J250" s="144">
        <f>ROUND(I250*H250,2)</f>
        <v>2123.8000000000002</v>
      </c>
      <c r="K250" s="141" t="s">
        <v>148</v>
      </c>
      <c r="L250" s="145"/>
      <c r="M250" s="146" t="s">
        <v>1</v>
      </c>
      <c r="N250" s="147" t="s">
        <v>39</v>
      </c>
      <c r="O250" s="135">
        <v>0</v>
      </c>
      <c r="P250" s="135">
        <f>O250*H250</f>
        <v>0</v>
      </c>
      <c r="Q250" s="135">
        <v>1</v>
      </c>
      <c r="R250" s="135">
        <f>Q250*H250</f>
        <v>4.1000000000000002E-2</v>
      </c>
      <c r="S250" s="135">
        <v>0</v>
      </c>
      <c r="T250" s="136">
        <f>S250*H250</f>
        <v>0</v>
      </c>
      <c r="AR250" s="137" t="s">
        <v>274</v>
      </c>
      <c r="AT250" s="137" t="s">
        <v>207</v>
      </c>
      <c r="AU250" s="137" t="s">
        <v>143</v>
      </c>
      <c r="AY250" s="15" t="s">
        <v>141</v>
      </c>
      <c r="BE250" s="138">
        <f>IF(N250="základní",J250,0)</f>
        <v>0</v>
      </c>
      <c r="BF250" s="138">
        <f>IF(N250="snížená",J250,0)</f>
        <v>2123.8000000000002</v>
      </c>
      <c r="BG250" s="138">
        <f>IF(N250="zákl. přenesená",J250,0)</f>
        <v>0</v>
      </c>
      <c r="BH250" s="138">
        <f>IF(N250="sníž. přenesená",J250,0)</f>
        <v>0</v>
      </c>
      <c r="BI250" s="138">
        <f>IF(N250="nulová",J250,0)</f>
        <v>0</v>
      </c>
      <c r="BJ250" s="15" t="s">
        <v>143</v>
      </c>
      <c r="BK250" s="138">
        <f>ROUND(I250*H250,2)</f>
        <v>2123.8000000000002</v>
      </c>
      <c r="BL250" s="15" t="s">
        <v>206</v>
      </c>
      <c r="BM250" s="137" t="s">
        <v>534</v>
      </c>
    </row>
    <row r="251" spans="2:65" s="12" customFormat="1">
      <c r="B251" s="148"/>
      <c r="D251" s="149" t="s">
        <v>363</v>
      </c>
      <c r="F251" s="150" t="s">
        <v>1148</v>
      </c>
      <c r="H251" s="151">
        <v>4.1000000000000002E-2</v>
      </c>
      <c r="L251" s="148"/>
      <c r="M251" s="152"/>
      <c r="T251" s="153"/>
      <c r="AT251" s="154" t="s">
        <v>363</v>
      </c>
      <c r="AU251" s="154" t="s">
        <v>143</v>
      </c>
      <c r="AV251" s="12" t="s">
        <v>143</v>
      </c>
      <c r="AW251" s="12" t="s">
        <v>3</v>
      </c>
      <c r="AX251" s="12" t="s">
        <v>81</v>
      </c>
      <c r="AY251" s="154" t="s">
        <v>141</v>
      </c>
    </row>
    <row r="252" spans="2:65" s="1" customFormat="1" ht="24.2" customHeight="1">
      <c r="B252" s="126"/>
      <c r="C252" s="127" t="s">
        <v>536</v>
      </c>
      <c r="D252" s="127" t="s">
        <v>144</v>
      </c>
      <c r="E252" s="128" t="s">
        <v>537</v>
      </c>
      <c r="F252" s="129" t="s">
        <v>538</v>
      </c>
      <c r="G252" s="130" t="s">
        <v>157</v>
      </c>
      <c r="H252" s="131">
        <v>1431.9359999999999</v>
      </c>
      <c r="I252" s="132">
        <v>113</v>
      </c>
      <c r="J252" s="132">
        <f>ROUND(I252*H252,2)</f>
        <v>161808.76999999999</v>
      </c>
      <c r="K252" s="129" t="s">
        <v>148</v>
      </c>
      <c r="L252" s="27"/>
      <c r="M252" s="133" t="s">
        <v>1</v>
      </c>
      <c r="N252" s="134" t="s">
        <v>39</v>
      </c>
      <c r="O252" s="135">
        <v>0.222</v>
      </c>
      <c r="P252" s="135">
        <f>O252*H252</f>
        <v>317.889792</v>
      </c>
      <c r="Q252" s="135">
        <v>4.0000000000000002E-4</v>
      </c>
      <c r="R252" s="135">
        <f>Q252*H252</f>
        <v>0.57277440000000002</v>
      </c>
      <c r="S252" s="135">
        <v>0</v>
      </c>
      <c r="T252" s="136">
        <f>S252*H252</f>
        <v>0</v>
      </c>
      <c r="AR252" s="137" t="s">
        <v>206</v>
      </c>
      <c r="AT252" s="137" t="s">
        <v>144</v>
      </c>
      <c r="AU252" s="137" t="s">
        <v>143</v>
      </c>
      <c r="AY252" s="15" t="s">
        <v>141</v>
      </c>
      <c r="BE252" s="138">
        <f>IF(N252="základní",J252,0)</f>
        <v>0</v>
      </c>
      <c r="BF252" s="138">
        <f>IF(N252="snížená",J252,0)</f>
        <v>161808.76999999999</v>
      </c>
      <c r="BG252" s="138">
        <f>IF(N252="zákl. přenesená",J252,0)</f>
        <v>0</v>
      </c>
      <c r="BH252" s="138">
        <f>IF(N252="sníž. přenesená",J252,0)</f>
        <v>0</v>
      </c>
      <c r="BI252" s="138">
        <f>IF(N252="nulová",J252,0)</f>
        <v>0</v>
      </c>
      <c r="BJ252" s="15" t="s">
        <v>143</v>
      </c>
      <c r="BK252" s="138">
        <f>ROUND(I252*H252,2)</f>
        <v>161808.76999999999</v>
      </c>
      <c r="BL252" s="15" t="s">
        <v>206</v>
      </c>
      <c r="BM252" s="137" t="s">
        <v>539</v>
      </c>
    </row>
    <row r="253" spans="2:65" s="1" customFormat="1" ht="24.2" customHeight="1">
      <c r="B253" s="126"/>
      <c r="C253" s="139" t="s">
        <v>540</v>
      </c>
      <c r="D253" s="139" t="s">
        <v>207</v>
      </c>
      <c r="E253" s="140" t="s">
        <v>541</v>
      </c>
      <c r="F253" s="141" t="s">
        <v>542</v>
      </c>
      <c r="G253" s="142" t="s">
        <v>157</v>
      </c>
      <c r="H253" s="143">
        <v>1668.921</v>
      </c>
      <c r="I253" s="144">
        <v>148.41999999999999</v>
      </c>
      <c r="J253" s="144">
        <f>ROUND(I253*H253,2)</f>
        <v>247701.25</v>
      </c>
      <c r="K253" s="141" t="s">
        <v>1</v>
      </c>
      <c r="L253" s="145"/>
      <c r="M253" s="146" t="s">
        <v>1</v>
      </c>
      <c r="N253" s="147" t="s">
        <v>39</v>
      </c>
      <c r="O253" s="135">
        <v>0</v>
      </c>
      <c r="P253" s="135">
        <f>O253*H253</f>
        <v>0</v>
      </c>
      <c r="Q253" s="135">
        <v>5.4000000000000003E-3</v>
      </c>
      <c r="R253" s="135">
        <f>Q253*H253</f>
        <v>9.0121734</v>
      </c>
      <c r="S253" s="135">
        <v>0</v>
      </c>
      <c r="T253" s="136">
        <f>S253*H253</f>
        <v>0</v>
      </c>
      <c r="AR253" s="137" t="s">
        <v>274</v>
      </c>
      <c r="AT253" s="137" t="s">
        <v>207</v>
      </c>
      <c r="AU253" s="137" t="s">
        <v>143</v>
      </c>
      <c r="AY253" s="15" t="s">
        <v>141</v>
      </c>
      <c r="BE253" s="138">
        <f>IF(N253="základní",J253,0)</f>
        <v>0</v>
      </c>
      <c r="BF253" s="138">
        <f>IF(N253="snížená",J253,0)</f>
        <v>247701.25</v>
      </c>
      <c r="BG253" s="138">
        <f>IF(N253="zákl. přenesená",J253,0)</f>
        <v>0</v>
      </c>
      <c r="BH253" s="138">
        <f>IF(N253="sníž. přenesená",J253,0)</f>
        <v>0</v>
      </c>
      <c r="BI253" s="138">
        <f>IF(N253="nulová",J253,0)</f>
        <v>0</v>
      </c>
      <c r="BJ253" s="15" t="s">
        <v>143</v>
      </c>
      <c r="BK253" s="138">
        <f>ROUND(I253*H253,2)</f>
        <v>247701.25</v>
      </c>
      <c r="BL253" s="15" t="s">
        <v>206</v>
      </c>
      <c r="BM253" s="137" t="s">
        <v>543</v>
      </c>
    </row>
    <row r="254" spans="2:65" s="12" customFormat="1">
      <c r="B254" s="148"/>
      <c r="D254" s="149" t="s">
        <v>363</v>
      </c>
      <c r="F254" s="150" t="s">
        <v>1149</v>
      </c>
      <c r="H254" s="151">
        <v>1668.921</v>
      </c>
      <c r="L254" s="148"/>
      <c r="M254" s="152"/>
      <c r="T254" s="153"/>
      <c r="AT254" s="154" t="s">
        <v>363</v>
      </c>
      <c r="AU254" s="154" t="s">
        <v>143</v>
      </c>
      <c r="AV254" s="12" t="s">
        <v>143</v>
      </c>
      <c r="AW254" s="12" t="s">
        <v>3</v>
      </c>
      <c r="AX254" s="12" t="s">
        <v>81</v>
      </c>
      <c r="AY254" s="154" t="s">
        <v>141</v>
      </c>
    </row>
    <row r="255" spans="2:65" s="1" customFormat="1" ht="24.2" customHeight="1">
      <c r="B255" s="126"/>
      <c r="C255" s="127" t="s">
        <v>545</v>
      </c>
      <c r="D255" s="127" t="s">
        <v>144</v>
      </c>
      <c r="E255" s="128" t="s">
        <v>546</v>
      </c>
      <c r="F255" s="129" t="s">
        <v>547</v>
      </c>
      <c r="G255" s="130" t="s">
        <v>157</v>
      </c>
      <c r="H255" s="131">
        <v>121.93</v>
      </c>
      <c r="I255" s="132">
        <v>130</v>
      </c>
      <c r="J255" s="132">
        <f>ROUND(I255*H255,2)</f>
        <v>15850.9</v>
      </c>
      <c r="K255" s="129" t="s">
        <v>148</v>
      </c>
      <c r="L255" s="27"/>
      <c r="M255" s="133" t="s">
        <v>1</v>
      </c>
      <c r="N255" s="134" t="s">
        <v>39</v>
      </c>
      <c r="O255" s="135">
        <v>0.26</v>
      </c>
      <c r="P255" s="135">
        <f>O255*H255</f>
        <v>31.701800000000002</v>
      </c>
      <c r="Q255" s="135">
        <v>4.0000000000000002E-4</v>
      </c>
      <c r="R255" s="135">
        <f>Q255*H255</f>
        <v>4.8772000000000003E-2</v>
      </c>
      <c r="S255" s="135">
        <v>0</v>
      </c>
      <c r="T255" s="136">
        <f>S255*H255</f>
        <v>0</v>
      </c>
      <c r="AR255" s="137" t="s">
        <v>206</v>
      </c>
      <c r="AT255" s="137" t="s">
        <v>144</v>
      </c>
      <c r="AU255" s="137" t="s">
        <v>143</v>
      </c>
      <c r="AY255" s="15" t="s">
        <v>141</v>
      </c>
      <c r="BE255" s="138">
        <f>IF(N255="základní",J255,0)</f>
        <v>0</v>
      </c>
      <c r="BF255" s="138">
        <f>IF(N255="snížená",J255,0)</f>
        <v>15850.9</v>
      </c>
      <c r="BG255" s="138">
        <f>IF(N255="zákl. přenesená",J255,0)</f>
        <v>0</v>
      </c>
      <c r="BH255" s="138">
        <f>IF(N255="sníž. přenesená",J255,0)</f>
        <v>0</v>
      </c>
      <c r="BI255" s="138">
        <f>IF(N255="nulová",J255,0)</f>
        <v>0</v>
      </c>
      <c r="BJ255" s="15" t="s">
        <v>143</v>
      </c>
      <c r="BK255" s="138">
        <f>ROUND(I255*H255,2)</f>
        <v>15850.9</v>
      </c>
      <c r="BL255" s="15" t="s">
        <v>206</v>
      </c>
      <c r="BM255" s="137" t="s">
        <v>548</v>
      </c>
    </row>
    <row r="256" spans="2:65" s="1" customFormat="1" ht="24.2" customHeight="1">
      <c r="B256" s="126"/>
      <c r="C256" s="139" t="s">
        <v>549</v>
      </c>
      <c r="D256" s="139" t="s">
        <v>207</v>
      </c>
      <c r="E256" s="140" t="s">
        <v>550</v>
      </c>
      <c r="F256" s="141" t="s">
        <v>551</v>
      </c>
      <c r="G256" s="142" t="s">
        <v>157</v>
      </c>
      <c r="H256" s="143">
        <v>148.876</v>
      </c>
      <c r="I256" s="144">
        <v>145.38</v>
      </c>
      <c r="J256" s="144">
        <f>ROUND(I256*H256,2)</f>
        <v>21643.59</v>
      </c>
      <c r="K256" s="141" t="s">
        <v>1</v>
      </c>
      <c r="L256" s="145"/>
      <c r="M256" s="146" t="s">
        <v>1</v>
      </c>
      <c r="N256" s="147" t="s">
        <v>39</v>
      </c>
      <c r="O256" s="135">
        <v>0</v>
      </c>
      <c r="P256" s="135">
        <f>O256*H256</f>
        <v>0</v>
      </c>
      <c r="Q256" s="135">
        <v>4.7000000000000002E-3</v>
      </c>
      <c r="R256" s="135">
        <f>Q256*H256</f>
        <v>0.69971720000000004</v>
      </c>
      <c r="S256" s="135">
        <v>0</v>
      </c>
      <c r="T256" s="136">
        <f>S256*H256</f>
        <v>0</v>
      </c>
      <c r="AR256" s="137" t="s">
        <v>274</v>
      </c>
      <c r="AT256" s="137" t="s">
        <v>207</v>
      </c>
      <c r="AU256" s="137" t="s">
        <v>143</v>
      </c>
      <c r="AY256" s="15" t="s">
        <v>141</v>
      </c>
      <c r="BE256" s="138">
        <f>IF(N256="základní",J256,0)</f>
        <v>0</v>
      </c>
      <c r="BF256" s="138">
        <f>IF(N256="snížená",J256,0)</f>
        <v>21643.59</v>
      </c>
      <c r="BG256" s="138">
        <f>IF(N256="zákl. přenesená",J256,0)</f>
        <v>0</v>
      </c>
      <c r="BH256" s="138">
        <f>IF(N256="sníž. přenesená",J256,0)</f>
        <v>0</v>
      </c>
      <c r="BI256" s="138">
        <f>IF(N256="nulová",J256,0)</f>
        <v>0</v>
      </c>
      <c r="BJ256" s="15" t="s">
        <v>143</v>
      </c>
      <c r="BK256" s="138">
        <f>ROUND(I256*H256,2)</f>
        <v>21643.59</v>
      </c>
      <c r="BL256" s="15" t="s">
        <v>206</v>
      </c>
      <c r="BM256" s="137" t="s">
        <v>552</v>
      </c>
    </row>
    <row r="257" spans="2:65" s="12" customFormat="1">
      <c r="B257" s="148"/>
      <c r="D257" s="149" t="s">
        <v>363</v>
      </c>
      <c r="F257" s="150" t="s">
        <v>1150</v>
      </c>
      <c r="H257" s="151">
        <v>148.876</v>
      </c>
      <c r="L257" s="148"/>
      <c r="M257" s="152"/>
      <c r="T257" s="153"/>
      <c r="AT257" s="154" t="s">
        <v>363</v>
      </c>
      <c r="AU257" s="154" t="s">
        <v>143</v>
      </c>
      <c r="AV257" s="12" t="s">
        <v>143</v>
      </c>
      <c r="AW257" s="12" t="s">
        <v>3</v>
      </c>
      <c r="AX257" s="12" t="s">
        <v>81</v>
      </c>
      <c r="AY257" s="154" t="s">
        <v>141</v>
      </c>
    </row>
    <row r="258" spans="2:65" s="1" customFormat="1" ht="33" customHeight="1">
      <c r="B258" s="126"/>
      <c r="C258" s="127" t="s">
        <v>554</v>
      </c>
      <c r="D258" s="127" t="s">
        <v>144</v>
      </c>
      <c r="E258" s="128" t="s">
        <v>555</v>
      </c>
      <c r="F258" s="129" t="s">
        <v>556</v>
      </c>
      <c r="G258" s="130" t="s">
        <v>157</v>
      </c>
      <c r="H258" s="131">
        <v>142.52600000000001</v>
      </c>
      <c r="I258" s="132">
        <v>360</v>
      </c>
      <c r="J258" s="132">
        <f>ROUND(I258*H258,2)</f>
        <v>51309.36</v>
      </c>
      <c r="K258" s="129" t="s">
        <v>1</v>
      </c>
      <c r="L258" s="27"/>
      <c r="M258" s="133" t="s">
        <v>1</v>
      </c>
      <c r="N258" s="134" t="s">
        <v>39</v>
      </c>
      <c r="O258" s="135">
        <v>0.5</v>
      </c>
      <c r="P258" s="135">
        <f>O258*H258</f>
        <v>71.263000000000005</v>
      </c>
      <c r="Q258" s="135">
        <v>0</v>
      </c>
      <c r="R258" s="135">
        <f>Q258*H258</f>
        <v>0</v>
      </c>
      <c r="S258" s="135">
        <v>0</v>
      </c>
      <c r="T258" s="136">
        <f>S258*H258</f>
        <v>0</v>
      </c>
      <c r="AR258" s="137" t="s">
        <v>206</v>
      </c>
      <c r="AT258" s="137" t="s">
        <v>144</v>
      </c>
      <c r="AU258" s="137" t="s">
        <v>143</v>
      </c>
      <c r="AY258" s="15" t="s">
        <v>141</v>
      </c>
      <c r="BE258" s="138">
        <f>IF(N258="základní",J258,0)</f>
        <v>0</v>
      </c>
      <c r="BF258" s="138">
        <f>IF(N258="snížená",J258,0)</f>
        <v>51309.36</v>
      </c>
      <c r="BG258" s="138">
        <f>IF(N258="zákl. přenesená",J258,0)</f>
        <v>0</v>
      </c>
      <c r="BH258" s="138">
        <f>IF(N258="sníž. přenesená",J258,0)</f>
        <v>0</v>
      </c>
      <c r="BI258" s="138">
        <f>IF(N258="nulová",J258,0)</f>
        <v>0</v>
      </c>
      <c r="BJ258" s="15" t="s">
        <v>143</v>
      </c>
      <c r="BK258" s="138">
        <f>ROUND(I258*H258,2)</f>
        <v>51309.36</v>
      </c>
      <c r="BL258" s="15" t="s">
        <v>206</v>
      </c>
      <c r="BM258" s="137" t="s">
        <v>557</v>
      </c>
    </row>
    <row r="259" spans="2:65" s="1" customFormat="1" ht="33" customHeight="1">
      <c r="B259" s="126"/>
      <c r="C259" s="127" t="s">
        <v>558</v>
      </c>
      <c r="D259" s="127" t="s">
        <v>144</v>
      </c>
      <c r="E259" s="128" t="s">
        <v>559</v>
      </c>
      <c r="F259" s="129" t="s">
        <v>560</v>
      </c>
      <c r="G259" s="130" t="s">
        <v>157</v>
      </c>
      <c r="H259" s="131">
        <v>337.57600000000002</v>
      </c>
      <c r="I259" s="132">
        <v>420</v>
      </c>
      <c r="J259" s="132">
        <f>ROUND(I259*H259,2)</f>
        <v>141781.92000000001</v>
      </c>
      <c r="K259" s="129" t="s">
        <v>1</v>
      </c>
      <c r="L259" s="27"/>
      <c r="M259" s="133" t="s">
        <v>1</v>
      </c>
      <c r="N259" s="134" t="s">
        <v>39</v>
      </c>
      <c r="O259" s="135">
        <v>0.71199999999999997</v>
      </c>
      <c r="P259" s="135">
        <f>O259*H259</f>
        <v>240.35411200000001</v>
      </c>
      <c r="Q259" s="135">
        <v>0</v>
      </c>
      <c r="R259" s="135">
        <f>Q259*H259</f>
        <v>0</v>
      </c>
      <c r="S259" s="135">
        <v>0</v>
      </c>
      <c r="T259" s="136">
        <f>S259*H259</f>
        <v>0</v>
      </c>
      <c r="AR259" s="137" t="s">
        <v>206</v>
      </c>
      <c r="AT259" s="137" t="s">
        <v>144</v>
      </c>
      <c r="AU259" s="137" t="s">
        <v>143</v>
      </c>
      <c r="AY259" s="15" t="s">
        <v>141</v>
      </c>
      <c r="BE259" s="138">
        <f>IF(N259="základní",J259,0)</f>
        <v>0</v>
      </c>
      <c r="BF259" s="138">
        <f>IF(N259="snížená",J259,0)</f>
        <v>141781.92000000001</v>
      </c>
      <c r="BG259" s="138">
        <f>IF(N259="zákl. přenesená",J259,0)</f>
        <v>0</v>
      </c>
      <c r="BH259" s="138">
        <f>IF(N259="sníž. přenesená",J259,0)</f>
        <v>0</v>
      </c>
      <c r="BI259" s="138">
        <f>IF(N259="nulová",J259,0)</f>
        <v>0</v>
      </c>
      <c r="BJ259" s="15" t="s">
        <v>143</v>
      </c>
      <c r="BK259" s="138">
        <f>ROUND(I259*H259,2)</f>
        <v>141781.92000000001</v>
      </c>
      <c r="BL259" s="15" t="s">
        <v>206</v>
      </c>
      <c r="BM259" s="137" t="s">
        <v>561</v>
      </c>
    </row>
    <row r="260" spans="2:65" s="1" customFormat="1" ht="24.2" customHeight="1">
      <c r="B260" s="126"/>
      <c r="C260" s="127" t="s">
        <v>562</v>
      </c>
      <c r="D260" s="127" t="s">
        <v>144</v>
      </c>
      <c r="E260" s="128" t="s">
        <v>563</v>
      </c>
      <c r="F260" s="129" t="s">
        <v>564</v>
      </c>
      <c r="G260" s="130" t="s">
        <v>565</v>
      </c>
      <c r="H260" s="131">
        <v>6857.3379999999997</v>
      </c>
      <c r="I260" s="132">
        <v>3.21</v>
      </c>
      <c r="J260" s="132">
        <f>ROUND(I260*H260,2)</f>
        <v>22012.05</v>
      </c>
      <c r="K260" s="129" t="s">
        <v>148</v>
      </c>
      <c r="L260" s="27"/>
      <c r="M260" s="133" t="s">
        <v>1</v>
      </c>
      <c r="N260" s="134" t="s">
        <v>39</v>
      </c>
      <c r="O260" s="135">
        <v>0</v>
      </c>
      <c r="P260" s="135">
        <f>O260*H260</f>
        <v>0</v>
      </c>
      <c r="Q260" s="135">
        <v>0</v>
      </c>
      <c r="R260" s="135">
        <f>Q260*H260</f>
        <v>0</v>
      </c>
      <c r="S260" s="135">
        <v>0</v>
      </c>
      <c r="T260" s="136">
        <f>S260*H260</f>
        <v>0</v>
      </c>
      <c r="AR260" s="137" t="s">
        <v>206</v>
      </c>
      <c r="AT260" s="137" t="s">
        <v>144</v>
      </c>
      <c r="AU260" s="137" t="s">
        <v>143</v>
      </c>
      <c r="AY260" s="15" t="s">
        <v>141</v>
      </c>
      <c r="BE260" s="138">
        <f>IF(N260="základní",J260,0)</f>
        <v>0</v>
      </c>
      <c r="BF260" s="138">
        <f>IF(N260="snížená",J260,0)</f>
        <v>22012.05</v>
      </c>
      <c r="BG260" s="138">
        <f>IF(N260="zákl. přenesená",J260,0)</f>
        <v>0</v>
      </c>
      <c r="BH260" s="138">
        <f>IF(N260="sníž. přenesená",J260,0)</f>
        <v>0</v>
      </c>
      <c r="BI260" s="138">
        <f>IF(N260="nulová",J260,0)</f>
        <v>0</v>
      </c>
      <c r="BJ260" s="15" t="s">
        <v>143</v>
      </c>
      <c r="BK260" s="138">
        <f>ROUND(I260*H260,2)</f>
        <v>22012.05</v>
      </c>
      <c r="BL260" s="15" t="s">
        <v>206</v>
      </c>
      <c r="BM260" s="137" t="s">
        <v>566</v>
      </c>
    </row>
    <row r="261" spans="2:65" s="11" customFormat="1" ht="22.9" customHeight="1">
      <c r="B261" s="115"/>
      <c r="D261" s="116" t="s">
        <v>72</v>
      </c>
      <c r="E261" s="124" t="s">
        <v>567</v>
      </c>
      <c r="F261" s="124" t="s">
        <v>568</v>
      </c>
      <c r="J261" s="125">
        <f>BK261</f>
        <v>159976.61000000002</v>
      </c>
      <c r="L261" s="115"/>
      <c r="M261" s="119"/>
      <c r="P261" s="120">
        <f>SUM(P262:P280)</f>
        <v>70.903233</v>
      </c>
      <c r="R261" s="120">
        <f>SUM(R262:R280)</f>
        <v>33.747253280000002</v>
      </c>
      <c r="T261" s="121">
        <f>SUM(T262:T280)</f>
        <v>0</v>
      </c>
      <c r="AR261" s="116" t="s">
        <v>143</v>
      </c>
      <c r="AT261" s="122" t="s">
        <v>72</v>
      </c>
      <c r="AU261" s="122" t="s">
        <v>81</v>
      </c>
      <c r="AY261" s="116" t="s">
        <v>141</v>
      </c>
      <c r="BK261" s="123">
        <f>SUM(BK262:BK280)</f>
        <v>159976.61000000002</v>
      </c>
    </row>
    <row r="262" spans="2:65" s="1" customFormat="1" ht="24.2" customHeight="1">
      <c r="B262" s="126"/>
      <c r="C262" s="127" t="s">
        <v>569</v>
      </c>
      <c r="D262" s="127" t="s">
        <v>144</v>
      </c>
      <c r="E262" s="128" t="s">
        <v>570</v>
      </c>
      <c r="F262" s="129" t="s">
        <v>571</v>
      </c>
      <c r="G262" s="130" t="s">
        <v>157</v>
      </c>
      <c r="H262" s="131">
        <v>172.565</v>
      </c>
      <c r="I262" s="132">
        <v>13.5</v>
      </c>
      <c r="J262" s="132">
        <f>ROUND(I262*H262,2)</f>
        <v>2329.63</v>
      </c>
      <c r="K262" s="129" t="s">
        <v>148</v>
      </c>
      <c r="L262" s="27"/>
      <c r="M262" s="133" t="s">
        <v>1</v>
      </c>
      <c r="N262" s="134" t="s">
        <v>39</v>
      </c>
      <c r="O262" s="135">
        <v>2.9000000000000001E-2</v>
      </c>
      <c r="P262" s="135">
        <f>O262*H262</f>
        <v>5.0043850000000001</v>
      </c>
      <c r="Q262" s="135">
        <v>0</v>
      </c>
      <c r="R262" s="135">
        <f>Q262*H262</f>
        <v>0</v>
      </c>
      <c r="S262" s="135">
        <v>0</v>
      </c>
      <c r="T262" s="136">
        <f>S262*H262</f>
        <v>0</v>
      </c>
      <c r="AR262" s="137" t="s">
        <v>206</v>
      </c>
      <c r="AT262" s="137" t="s">
        <v>144</v>
      </c>
      <c r="AU262" s="137" t="s">
        <v>143</v>
      </c>
      <c r="AY262" s="15" t="s">
        <v>141</v>
      </c>
      <c r="BE262" s="138">
        <f>IF(N262="základní",J262,0)</f>
        <v>0</v>
      </c>
      <c r="BF262" s="138">
        <f>IF(N262="snížená",J262,0)</f>
        <v>2329.63</v>
      </c>
      <c r="BG262" s="138">
        <f>IF(N262="zákl. přenesená",J262,0)</f>
        <v>0</v>
      </c>
      <c r="BH262" s="138">
        <f>IF(N262="sníž. přenesená",J262,0)</f>
        <v>0</v>
      </c>
      <c r="BI262" s="138">
        <f>IF(N262="nulová",J262,0)</f>
        <v>0</v>
      </c>
      <c r="BJ262" s="15" t="s">
        <v>143</v>
      </c>
      <c r="BK262" s="138">
        <f>ROUND(I262*H262,2)</f>
        <v>2329.63</v>
      </c>
      <c r="BL262" s="15" t="s">
        <v>206</v>
      </c>
      <c r="BM262" s="137" t="s">
        <v>572</v>
      </c>
    </row>
    <row r="263" spans="2:65" s="1" customFormat="1" ht="16.5" customHeight="1">
      <c r="B263" s="126"/>
      <c r="C263" s="139" t="s">
        <v>573</v>
      </c>
      <c r="D263" s="139" t="s">
        <v>207</v>
      </c>
      <c r="E263" s="140" t="s">
        <v>525</v>
      </c>
      <c r="F263" s="141" t="s">
        <v>526</v>
      </c>
      <c r="G263" s="142" t="s">
        <v>179</v>
      </c>
      <c r="H263" s="143">
        <v>5.5E-2</v>
      </c>
      <c r="I263" s="144">
        <v>51800</v>
      </c>
      <c r="J263" s="144">
        <f>ROUND(I263*H263,2)</f>
        <v>2849</v>
      </c>
      <c r="K263" s="141" t="s">
        <v>148</v>
      </c>
      <c r="L263" s="145"/>
      <c r="M263" s="146" t="s">
        <v>1</v>
      </c>
      <c r="N263" s="147" t="s">
        <v>39</v>
      </c>
      <c r="O263" s="135">
        <v>0</v>
      </c>
      <c r="P263" s="135">
        <f>O263*H263</f>
        <v>0</v>
      </c>
      <c r="Q263" s="135">
        <v>1</v>
      </c>
      <c r="R263" s="135">
        <f>Q263*H263</f>
        <v>5.5E-2</v>
      </c>
      <c r="S263" s="135">
        <v>0</v>
      </c>
      <c r="T263" s="136">
        <f>S263*H263</f>
        <v>0</v>
      </c>
      <c r="AR263" s="137" t="s">
        <v>274</v>
      </c>
      <c r="AT263" s="137" t="s">
        <v>207</v>
      </c>
      <c r="AU263" s="137" t="s">
        <v>143</v>
      </c>
      <c r="AY263" s="15" t="s">
        <v>141</v>
      </c>
      <c r="BE263" s="138">
        <f>IF(N263="základní",J263,0)</f>
        <v>0</v>
      </c>
      <c r="BF263" s="138">
        <f>IF(N263="snížená",J263,0)</f>
        <v>2849</v>
      </c>
      <c r="BG263" s="138">
        <f>IF(N263="zákl. přenesená",J263,0)</f>
        <v>0</v>
      </c>
      <c r="BH263" s="138">
        <f>IF(N263="sníž. přenesená",J263,0)</f>
        <v>0</v>
      </c>
      <c r="BI263" s="138">
        <f>IF(N263="nulová",J263,0)</f>
        <v>0</v>
      </c>
      <c r="BJ263" s="15" t="s">
        <v>143</v>
      </c>
      <c r="BK263" s="138">
        <f>ROUND(I263*H263,2)</f>
        <v>2849</v>
      </c>
      <c r="BL263" s="15" t="s">
        <v>206</v>
      </c>
      <c r="BM263" s="137" t="s">
        <v>574</v>
      </c>
    </row>
    <row r="264" spans="2:65" s="12" customFormat="1">
      <c r="B264" s="148"/>
      <c r="D264" s="149" t="s">
        <v>363</v>
      </c>
      <c r="F264" s="150" t="s">
        <v>1151</v>
      </c>
      <c r="H264" s="151">
        <v>5.5E-2</v>
      </c>
      <c r="L264" s="148"/>
      <c r="M264" s="152"/>
      <c r="T264" s="153"/>
      <c r="AT264" s="154" t="s">
        <v>363</v>
      </c>
      <c r="AU264" s="154" t="s">
        <v>143</v>
      </c>
      <c r="AV264" s="12" t="s">
        <v>143</v>
      </c>
      <c r="AW264" s="12" t="s">
        <v>3</v>
      </c>
      <c r="AX264" s="12" t="s">
        <v>81</v>
      </c>
      <c r="AY264" s="154" t="s">
        <v>141</v>
      </c>
    </row>
    <row r="265" spans="2:65" s="1" customFormat="1" ht="24.2" customHeight="1">
      <c r="B265" s="126"/>
      <c r="C265" s="127" t="s">
        <v>576</v>
      </c>
      <c r="D265" s="127" t="s">
        <v>144</v>
      </c>
      <c r="E265" s="128" t="s">
        <v>577</v>
      </c>
      <c r="F265" s="129" t="s">
        <v>578</v>
      </c>
      <c r="G265" s="130" t="s">
        <v>157</v>
      </c>
      <c r="H265" s="131">
        <v>158.357</v>
      </c>
      <c r="I265" s="132">
        <v>117</v>
      </c>
      <c r="J265" s="132">
        <f>ROUND(I265*H265,2)</f>
        <v>18527.77</v>
      </c>
      <c r="K265" s="129" t="s">
        <v>148</v>
      </c>
      <c r="L265" s="27"/>
      <c r="M265" s="133" t="s">
        <v>1</v>
      </c>
      <c r="N265" s="134" t="s">
        <v>39</v>
      </c>
      <c r="O265" s="135">
        <v>0.17899999999999999</v>
      </c>
      <c r="P265" s="135">
        <f>O265*H265</f>
        <v>28.345903</v>
      </c>
      <c r="Q265" s="135">
        <v>8.8000000000000003E-4</v>
      </c>
      <c r="R265" s="135">
        <f>Q265*H265</f>
        <v>0.13935416</v>
      </c>
      <c r="S265" s="135">
        <v>0</v>
      </c>
      <c r="T265" s="136">
        <f>S265*H265</f>
        <v>0</v>
      </c>
      <c r="AR265" s="137" t="s">
        <v>206</v>
      </c>
      <c r="AT265" s="137" t="s">
        <v>144</v>
      </c>
      <c r="AU265" s="137" t="s">
        <v>143</v>
      </c>
      <c r="AY265" s="15" t="s">
        <v>141</v>
      </c>
      <c r="BE265" s="138">
        <f>IF(N265="základní",J265,0)</f>
        <v>0</v>
      </c>
      <c r="BF265" s="138">
        <f>IF(N265="snížená",J265,0)</f>
        <v>18527.77</v>
      </c>
      <c r="BG265" s="138">
        <f>IF(N265="zákl. přenesená",J265,0)</f>
        <v>0</v>
      </c>
      <c r="BH265" s="138">
        <f>IF(N265="sníž. přenesená",J265,0)</f>
        <v>0</v>
      </c>
      <c r="BI265" s="138">
        <f>IF(N265="nulová",J265,0)</f>
        <v>0</v>
      </c>
      <c r="BJ265" s="15" t="s">
        <v>143</v>
      </c>
      <c r="BK265" s="138">
        <f>ROUND(I265*H265,2)</f>
        <v>18527.77</v>
      </c>
      <c r="BL265" s="15" t="s">
        <v>206</v>
      </c>
      <c r="BM265" s="137" t="s">
        <v>579</v>
      </c>
    </row>
    <row r="266" spans="2:65" s="1" customFormat="1" ht="24.2" customHeight="1">
      <c r="B266" s="126"/>
      <c r="C266" s="139" t="s">
        <v>580</v>
      </c>
      <c r="D266" s="139" t="s">
        <v>207</v>
      </c>
      <c r="E266" s="140" t="s">
        <v>541</v>
      </c>
      <c r="F266" s="141" t="s">
        <v>542</v>
      </c>
      <c r="G266" s="142" t="s">
        <v>157</v>
      </c>
      <c r="H266" s="143">
        <v>184.565</v>
      </c>
      <c r="I266" s="144">
        <v>148.41999999999999</v>
      </c>
      <c r="J266" s="144">
        <f>ROUND(I266*H266,2)</f>
        <v>27393.14</v>
      </c>
      <c r="K266" s="141" t="s">
        <v>1</v>
      </c>
      <c r="L266" s="145"/>
      <c r="M266" s="146" t="s">
        <v>1</v>
      </c>
      <c r="N266" s="147" t="s">
        <v>39</v>
      </c>
      <c r="O266" s="135">
        <v>0</v>
      </c>
      <c r="P266" s="135">
        <f>O266*H266</f>
        <v>0</v>
      </c>
      <c r="Q266" s="135">
        <v>5.4000000000000003E-3</v>
      </c>
      <c r="R266" s="135">
        <f>Q266*H266</f>
        <v>0.99665100000000006</v>
      </c>
      <c r="S266" s="135">
        <v>0</v>
      </c>
      <c r="T266" s="136">
        <f>S266*H266</f>
        <v>0</v>
      </c>
      <c r="AR266" s="137" t="s">
        <v>274</v>
      </c>
      <c r="AT266" s="137" t="s">
        <v>207</v>
      </c>
      <c r="AU266" s="137" t="s">
        <v>143</v>
      </c>
      <c r="AY266" s="15" t="s">
        <v>141</v>
      </c>
      <c r="BE266" s="138">
        <f>IF(N266="základní",J266,0)</f>
        <v>0</v>
      </c>
      <c r="BF266" s="138">
        <f>IF(N266="snížená",J266,0)</f>
        <v>27393.14</v>
      </c>
      <c r="BG266" s="138">
        <f>IF(N266="zákl. přenesená",J266,0)</f>
        <v>0</v>
      </c>
      <c r="BH266" s="138">
        <f>IF(N266="sníž. přenesená",J266,0)</f>
        <v>0</v>
      </c>
      <c r="BI266" s="138">
        <f>IF(N266="nulová",J266,0)</f>
        <v>0</v>
      </c>
      <c r="BJ266" s="15" t="s">
        <v>143</v>
      </c>
      <c r="BK266" s="138">
        <f>ROUND(I266*H266,2)</f>
        <v>27393.14</v>
      </c>
      <c r="BL266" s="15" t="s">
        <v>206</v>
      </c>
      <c r="BM266" s="137" t="s">
        <v>581</v>
      </c>
    </row>
    <row r="267" spans="2:65" s="12" customFormat="1">
      <c r="B267" s="148"/>
      <c r="D267" s="149" t="s">
        <v>363</v>
      </c>
      <c r="F267" s="150" t="s">
        <v>1152</v>
      </c>
      <c r="H267" s="151">
        <v>184.565</v>
      </c>
      <c r="L267" s="148"/>
      <c r="M267" s="152"/>
      <c r="T267" s="153"/>
      <c r="AT267" s="154" t="s">
        <v>363</v>
      </c>
      <c r="AU267" s="154" t="s">
        <v>143</v>
      </c>
      <c r="AV267" s="12" t="s">
        <v>143</v>
      </c>
      <c r="AW267" s="12" t="s">
        <v>3</v>
      </c>
      <c r="AX267" s="12" t="s">
        <v>81</v>
      </c>
      <c r="AY267" s="154" t="s">
        <v>141</v>
      </c>
    </row>
    <row r="268" spans="2:65" s="1" customFormat="1" ht="24.2" customHeight="1">
      <c r="B268" s="126"/>
      <c r="C268" s="127" t="s">
        <v>583</v>
      </c>
      <c r="D268" s="127" t="s">
        <v>144</v>
      </c>
      <c r="E268" s="128" t="s">
        <v>584</v>
      </c>
      <c r="F268" s="129" t="s">
        <v>585</v>
      </c>
      <c r="G268" s="130" t="s">
        <v>157</v>
      </c>
      <c r="H268" s="131">
        <v>129.941</v>
      </c>
      <c r="I268" s="132">
        <v>264</v>
      </c>
      <c r="J268" s="132">
        <f>ROUND(I268*H268,2)</f>
        <v>34304.42</v>
      </c>
      <c r="K268" s="129" t="s">
        <v>148</v>
      </c>
      <c r="L268" s="27"/>
      <c r="M268" s="133" t="s">
        <v>1</v>
      </c>
      <c r="N268" s="134" t="s">
        <v>39</v>
      </c>
      <c r="O268" s="135">
        <v>0.14099999999999999</v>
      </c>
      <c r="P268" s="135">
        <f>O268*H268</f>
        <v>18.321680999999998</v>
      </c>
      <c r="Q268" s="135">
        <v>7.2000000000000005E-4</v>
      </c>
      <c r="R268" s="135">
        <f>Q268*H268</f>
        <v>9.3557520000000005E-2</v>
      </c>
      <c r="S268" s="135">
        <v>0</v>
      </c>
      <c r="T268" s="136">
        <f>S268*H268</f>
        <v>0</v>
      </c>
      <c r="AR268" s="137" t="s">
        <v>206</v>
      </c>
      <c r="AT268" s="137" t="s">
        <v>144</v>
      </c>
      <c r="AU268" s="137" t="s">
        <v>143</v>
      </c>
      <c r="AY268" s="15" t="s">
        <v>141</v>
      </c>
      <c r="BE268" s="138">
        <f>IF(N268="základní",J268,0)</f>
        <v>0</v>
      </c>
      <c r="BF268" s="138">
        <f>IF(N268="snížená",J268,0)</f>
        <v>34304.42</v>
      </c>
      <c r="BG268" s="138">
        <f>IF(N268="zákl. přenesená",J268,0)</f>
        <v>0</v>
      </c>
      <c r="BH268" s="138">
        <f>IF(N268="sníž. přenesená",J268,0)</f>
        <v>0</v>
      </c>
      <c r="BI268" s="138">
        <f>IF(N268="nulová",J268,0)</f>
        <v>0</v>
      </c>
      <c r="BJ268" s="15" t="s">
        <v>143</v>
      </c>
      <c r="BK268" s="138">
        <f>ROUND(I268*H268,2)</f>
        <v>34304.42</v>
      </c>
      <c r="BL268" s="15" t="s">
        <v>206</v>
      </c>
      <c r="BM268" s="137" t="s">
        <v>586</v>
      </c>
    </row>
    <row r="269" spans="2:65" s="1" customFormat="1" ht="33" customHeight="1">
      <c r="B269" s="126"/>
      <c r="C269" s="139" t="s">
        <v>587</v>
      </c>
      <c r="D269" s="139" t="s">
        <v>207</v>
      </c>
      <c r="E269" s="140" t="s">
        <v>588</v>
      </c>
      <c r="F269" s="141" t="s">
        <v>589</v>
      </c>
      <c r="G269" s="142" t="s">
        <v>157</v>
      </c>
      <c r="H269" s="143">
        <v>151.446</v>
      </c>
      <c r="I269" s="144">
        <v>273</v>
      </c>
      <c r="J269" s="144">
        <f>ROUND(I269*H269,2)</f>
        <v>41344.76</v>
      </c>
      <c r="K269" s="141" t="s">
        <v>148</v>
      </c>
      <c r="L269" s="145"/>
      <c r="M269" s="146" t="s">
        <v>1</v>
      </c>
      <c r="N269" s="147" t="s">
        <v>39</v>
      </c>
      <c r="O269" s="135">
        <v>0</v>
      </c>
      <c r="P269" s="135">
        <f>O269*H269</f>
        <v>0</v>
      </c>
      <c r="Q269" s="135">
        <v>1.9E-3</v>
      </c>
      <c r="R269" s="135">
        <f>Q269*H269</f>
        <v>0.28774739999999999</v>
      </c>
      <c r="S269" s="135">
        <v>0</v>
      </c>
      <c r="T269" s="136">
        <f>S269*H269</f>
        <v>0</v>
      </c>
      <c r="AR269" s="137" t="s">
        <v>274</v>
      </c>
      <c r="AT269" s="137" t="s">
        <v>207</v>
      </c>
      <c r="AU269" s="137" t="s">
        <v>143</v>
      </c>
      <c r="AY269" s="15" t="s">
        <v>141</v>
      </c>
      <c r="BE269" s="138">
        <f>IF(N269="základní",J269,0)</f>
        <v>0</v>
      </c>
      <c r="BF269" s="138">
        <f>IF(N269="snížená",J269,0)</f>
        <v>41344.76</v>
      </c>
      <c r="BG269" s="138">
        <f>IF(N269="zákl. přenesená",J269,0)</f>
        <v>0</v>
      </c>
      <c r="BH269" s="138">
        <f>IF(N269="sníž. přenesená",J269,0)</f>
        <v>0</v>
      </c>
      <c r="BI269" s="138">
        <f>IF(N269="nulová",J269,0)</f>
        <v>0</v>
      </c>
      <c r="BJ269" s="15" t="s">
        <v>143</v>
      </c>
      <c r="BK269" s="138">
        <f>ROUND(I269*H269,2)</f>
        <v>41344.76</v>
      </c>
      <c r="BL269" s="15" t="s">
        <v>206</v>
      </c>
      <c r="BM269" s="137" t="s">
        <v>590</v>
      </c>
    </row>
    <row r="270" spans="2:65" s="12" customFormat="1">
      <c r="B270" s="148"/>
      <c r="D270" s="149" t="s">
        <v>363</v>
      </c>
      <c r="F270" s="150" t="s">
        <v>1153</v>
      </c>
      <c r="H270" s="151">
        <v>151.446</v>
      </c>
      <c r="L270" s="148"/>
      <c r="M270" s="152"/>
      <c r="T270" s="153"/>
      <c r="AT270" s="154" t="s">
        <v>363</v>
      </c>
      <c r="AU270" s="154" t="s">
        <v>143</v>
      </c>
      <c r="AV270" s="12" t="s">
        <v>143</v>
      </c>
      <c r="AW270" s="12" t="s">
        <v>3</v>
      </c>
      <c r="AX270" s="12" t="s">
        <v>81</v>
      </c>
      <c r="AY270" s="154" t="s">
        <v>141</v>
      </c>
    </row>
    <row r="271" spans="2:65" s="1" customFormat="1" ht="24.2" customHeight="1">
      <c r="B271" s="126"/>
      <c r="C271" s="127" t="s">
        <v>592</v>
      </c>
      <c r="D271" s="127" t="s">
        <v>144</v>
      </c>
      <c r="E271" s="128" t="s">
        <v>593</v>
      </c>
      <c r="F271" s="129" t="s">
        <v>594</v>
      </c>
      <c r="G271" s="130" t="s">
        <v>157</v>
      </c>
      <c r="H271" s="131">
        <v>129.941</v>
      </c>
      <c r="I271" s="132">
        <v>58.8</v>
      </c>
      <c r="J271" s="132">
        <f>ROUND(I271*H271,2)</f>
        <v>7640.53</v>
      </c>
      <c r="K271" s="129" t="s">
        <v>148</v>
      </c>
      <c r="L271" s="27"/>
      <c r="M271" s="133" t="s">
        <v>1</v>
      </c>
      <c r="N271" s="134" t="s">
        <v>39</v>
      </c>
      <c r="O271" s="135">
        <v>0.11</v>
      </c>
      <c r="P271" s="135">
        <f>O271*H271</f>
        <v>14.293509999999999</v>
      </c>
      <c r="Q271" s="135">
        <v>0</v>
      </c>
      <c r="R271" s="135">
        <f>Q271*H271</f>
        <v>0</v>
      </c>
      <c r="S271" s="135">
        <v>0</v>
      </c>
      <c r="T271" s="136">
        <f>S271*H271</f>
        <v>0</v>
      </c>
      <c r="AR271" s="137" t="s">
        <v>206</v>
      </c>
      <c r="AT271" s="137" t="s">
        <v>144</v>
      </c>
      <c r="AU271" s="137" t="s">
        <v>143</v>
      </c>
      <c r="AY271" s="15" t="s">
        <v>141</v>
      </c>
      <c r="BE271" s="138">
        <f>IF(N271="základní",J271,0)</f>
        <v>0</v>
      </c>
      <c r="BF271" s="138">
        <f>IF(N271="snížená",J271,0)</f>
        <v>7640.53</v>
      </c>
      <c r="BG271" s="138">
        <f>IF(N271="zákl. přenesená",J271,0)</f>
        <v>0</v>
      </c>
      <c r="BH271" s="138">
        <f>IF(N271="sníž. přenesená",J271,0)</f>
        <v>0</v>
      </c>
      <c r="BI271" s="138">
        <f>IF(N271="nulová",J271,0)</f>
        <v>0</v>
      </c>
      <c r="BJ271" s="15" t="s">
        <v>143</v>
      </c>
      <c r="BK271" s="138">
        <f>ROUND(I271*H271,2)</f>
        <v>7640.53</v>
      </c>
      <c r="BL271" s="15" t="s">
        <v>206</v>
      </c>
      <c r="BM271" s="137" t="s">
        <v>595</v>
      </c>
    </row>
    <row r="272" spans="2:65" s="1" customFormat="1" ht="24.2" customHeight="1">
      <c r="B272" s="126"/>
      <c r="C272" s="139" t="s">
        <v>596</v>
      </c>
      <c r="D272" s="139" t="s">
        <v>207</v>
      </c>
      <c r="E272" s="140" t="s">
        <v>597</v>
      </c>
      <c r="F272" s="141" t="s">
        <v>598</v>
      </c>
      <c r="G272" s="142" t="s">
        <v>157</v>
      </c>
      <c r="H272" s="143">
        <v>149.43199999999999</v>
      </c>
      <c r="I272" s="144">
        <v>14.9</v>
      </c>
      <c r="J272" s="144">
        <f>ROUND(I272*H272,2)</f>
        <v>2226.54</v>
      </c>
      <c r="K272" s="141" t="s">
        <v>148</v>
      </c>
      <c r="L272" s="145"/>
      <c r="M272" s="146" t="s">
        <v>1</v>
      </c>
      <c r="N272" s="147" t="s">
        <v>39</v>
      </c>
      <c r="O272" s="135">
        <v>0</v>
      </c>
      <c r="P272" s="135">
        <f>O272*H272</f>
        <v>0</v>
      </c>
      <c r="Q272" s="135">
        <v>1E-4</v>
      </c>
      <c r="R272" s="135">
        <f>Q272*H272</f>
        <v>1.49432E-2</v>
      </c>
      <c r="S272" s="135">
        <v>0</v>
      </c>
      <c r="T272" s="136">
        <f>S272*H272</f>
        <v>0</v>
      </c>
      <c r="AR272" s="137" t="s">
        <v>274</v>
      </c>
      <c r="AT272" s="137" t="s">
        <v>207</v>
      </c>
      <c r="AU272" s="137" t="s">
        <v>143</v>
      </c>
      <c r="AY272" s="15" t="s">
        <v>141</v>
      </c>
      <c r="BE272" s="138">
        <f>IF(N272="základní",J272,0)</f>
        <v>0</v>
      </c>
      <c r="BF272" s="138">
        <f>IF(N272="snížená",J272,0)</f>
        <v>2226.54</v>
      </c>
      <c r="BG272" s="138">
        <f>IF(N272="zákl. přenesená",J272,0)</f>
        <v>0</v>
      </c>
      <c r="BH272" s="138">
        <f>IF(N272="sníž. přenesená",J272,0)</f>
        <v>0</v>
      </c>
      <c r="BI272" s="138">
        <f>IF(N272="nulová",J272,0)</f>
        <v>0</v>
      </c>
      <c r="BJ272" s="15" t="s">
        <v>143</v>
      </c>
      <c r="BK272" s="138">
        <f>ROUND(I272*H272,2)</f>
        <v>2226.54</v>
      </c>
      <c r="BL272" s="15" t="s">
        <v>206</v>
      </c>
      <c r="BM272" s="137" t="s">
        <v>599</v>
      </c>
    </row>
    <row r="273" spans="2:65" s="12" customFormat="1">
      <c r="B273" s="148"/>
      <c r="D273" s="149" t="s">
        <v>363</v>
      </c>
      <c r="F273" s="150" t="s">
        <v>1154</v>
      </c>
      <c r="H273" s="151">
        <v>149.43199999999999</v>
      </c>
      <c r="L273" s="148"/>
      <c r="M273" s="152"/>
      <c r="T273" s="153"/>
      <c r="AT273" s="154" t="s">
        <v>363</v>
      </c>
      <c r="AU273" s="154" t="s">
        <v>143</v>
      </c>
      <c r="AV273" s="12" t="s">
        <v>143</v>
      </c>
      <c r="AW273" s="12" t="s">
        <v>3</v>
      </c>
      <c r="AX273" s="12" t="s">
        <v>81</v>
      </c>
      <c r="AY273" s="154" t="s">
        <v>141</v>
      </c>
    </row>
    <row r="274" spans="2:65" s="1" customFormat="1" ht="24.2" customHeight="1">
      <c r="B274" s="126"/>
      <c r="C274" s="127" t="s">
        <v>601</v>
      </c>
      <c r="D274" s="127" t="s">
        <v>144</v>
      </c>
      <c r="E274" s="128" t="s">
        <v>602</v>
      </c>
      <c r="F274" s="129" t="s">
        <v>603</v>
      </c>
      <c r="G274" s="130" t="s">
        <v>157</v>
      </c>
      <c r="H274" s="131">
        <v>129.941</v>
      </c>
      <c r="I274" s="132">
        <v>7.56</v>
      </c>
      <c r="J274" s="132">
        <f>ROUND(I274*H274,2)</f>
        <v>982.35</v>
      </c>
      <c r="K274" s="129" t="s">
        <v>148</v>
      </c>
      <c r="L274" s="27"/>
      <c r="M274" s="133" t="s">
        <v>1</v>
      </c>
      <c r="N274" s="134" t="s">
        <v>39</v>
      </c>
      <c r="O274" s="135">
        <v>1.7999999999999999E-2</v>
      </c>
      <c r="P274" s="135">
        <f>O274*H274</f>
        <v>2.3389379999999997</v>
      </c>
      <c r="Q274" s="135">
        <v>0</v>
      </c>
      <c r="R274" s="135">
        <f>Q274*H274</f>
        <v>0</v>
      </c>
      <c r="S274" s="135">
        <v>0</v>
      </c>
      <c r="T274" s="136">
        <f>S274*H274</f>
        <v>0</v>
      </c>
      <c r="AR274" s="137" t="s">
        <v>206</v>
      </c>
      <c r="AT274" s="137" t="s">
        <v>144</v>
      </c>
      <c r="AU274" s="137" t="s">
        <v>143</v>
      </c>
      <c r="AY274" s="15" t="s">
        <v>141</v>
      </c>
      <c r="BE274" s="138">
        <f>IF(N274="základní",J274,0)</f>
        <v>0</v>
      </c>
      <c r="BF274" s="138">
        <f>IF(N274="snížená",J274,0)</f>
        <v>982.35</v>
      </c>
      <c r="BG274" s="138">
        <f>IF(N274="zákl. přenesená",J274,0)</f>
        <v>0</v>
      </c>
      <c r="BH274" s="138">
        <f>IF(N274="sníž. přenesená",J274,0)</f>
        <v>0</v>
      </c>
      <c r="BI274" s="138">
        <f>IF(N274="nulová",J274,0)</f>
        <v>0</v>
      </c>
      <c r="BJ274" s="15" t="s">
        <v>143</v>
      </c>
      <c r="BK274" s="138">
        <f>ROUND(I274*H274,2)</f>
        <v>982.35</v>
      </c>
      <c r="BL274" s="15" t="s">
        <v>206</v>
      </c>
      <c r="BM274" s="137" t="s">
        <v>604</v>
      </c>
    </row>
    <row r="275" spans="2:65" s="1" customFormat="1" ht="16.5" customHeight="1">
      <c r="B275" s="126"/>
      <c r="C275" s="139" t="s">
        <v>605</v>
      </c>
      <c r="D275" s="139" t="s">
        <v>207</v>
      </c>
      <c r="E275" s="140" t="s">
        <v>606</v>
      </c>
      <c r="F275" s="141" t="s">
        <v>607</v>
      </c>
      <c r="G275" s="142" t="s">
        <v>179</v>
      </c>
      <c r="H275" s="143">
        <v>10.72</v>
      </c>
      <c r="I275" s="144">
        <v>510</v>
      </c>
      <c r="J275" s="144">
        <f>ROUND(I275*H275,2)</f>
        <v>5467.2</v>
      </c>
      <c r="K275" s="141" t="s">
        <v>148</v>
      </c>
      <c r="L275" s="145"/>
      <c r="M275" s="146" t="s">
        <v>1</v>
      </c>
      <c r="N275" s="147" t="s">
        <v>39</v>
      </c>
      <c r="O275" s="135">
        <v>0</v>
      </c>
      <c r="P275" s="135">
        <f>O275*H275</f>
        <v>0</v>
      </c>
      <c r="Q275" s="135">
        <v>1</v>
      </c>
      <c r="R275" s="135">
        <f>Q275*H275</f>
        <v>10.72</v>
      </c>
      <c r="S275" s="135">
        <v>0</v>
      </c>
      <c r="T275" s="136">
        <f>S275*H275</f>
        <v>0</v>
      </c>
      <c r="AR275" s="137" t="s">
        <v>274</v>
      </c>
      <c r="AT275" s="137" t="s">
        <v>207</v>
      </c>
      <c r="AU275" s="137" t="s">
        <v>143</v>
      </c>
      <c r="AY275" s="15" t="s">
        <v>141</v>
      </c>
      <c r="BE275" s="138">
        <f>IF(N275="základní",J275,0)</f>
        <v>0</v>
      </c>
      <c r="BF275" s="138">
        <f>IF(N275="snížená",J275,0)</f>
        <v>5467.2</v>
      </c>
      <c r="BG275" s="138">
        <f>IF(N275="zákl. přenesená",J275,0)</f>
        <v>0</v>
      </c>
      <c r="BH275" s="138">
        <f>IF(N275="sníž. přenesená",J275,0)</f>
        <v>0</v>
      </c>
      <c r="BI275" s="138">
        <f>IF(N275="nulová",J275,0)</f>
        <v>0</v>
      </c>
      <c r="BJ275" s="15" t="s">
        <v>143</v>
      </c>
      <c r="BK275" s="138">
        <f>ROUND(I275*H275,2)</f>
        <v>5467.2</v>
      </c>
      <c r="BL275" s="15" t="s">
        <v>206</v>
      </c>
      <c r="BM275" s="137" t="s">
        <v>608</v>
      </c>
    </row>
    <row r="276" spans="2:65" s="12" customFormat="1">
      <c r="B276" s="148"/>
      <c r="D276" s="149" t="s">
        <v>363</v>
      </c>
      <c r="F276" s="150" t="s">
        <v>1155</v>
      </c>
      <c r="H276" s="151">
        <v>10.72</v>
      </c>
      <c r="L276" s="148"/>
      <c r="M276" s="152"/>
      <c r="T276" s="153"/>
      <c r="AT276" s="154" t="s">
        <v>363</v>
      </c>
      <c r="AU276" s="154" t="s">
        <v>143</v>
      </c>
      <c r="AV276" s="12" t="s">
        <v>143</v>
      </c>
      <c r="AW276" s="12" t="s">
        <v>3</v>
      </c>
      <c r="AX276" s="12" t="s">
        <v>81</v>
      </c>
      <c r="AY276" s="154" t="s">
        <v>141</v>
      </c>
    </row>
    <row r="277" spans="2:65" s="1" customFormat="1" ht="24.2" customHeight="1">
      <c r="B277" s="126"/>
      <c r="C277" s="127" t="s">
        <v>610</v>
      </c>
      <c r="D277" s="127" t="s">
        <v>144</v>
      </c>
      <c r="E277" s="128" t="s">
        <v>611</v>
      </c>
      <c r="F277" s="129" t="s">
        <v>612</v>
      </c>
      <c r="G277" s="130" t="s">
        <v>157</v>
      </c>
      <c r="H277" s="131">
        <v>1299.4079999999999</v>
      </c>
      <c r="I277" s="132">
        <v>0.84</v>
      </c>
      <c r="J277" s="132">
        <f>ROUND(I277*H277,2)</f>
        <v>1091.5</v>
      </c>
      <c r="K277" s="129" t="s">
        <v>148</v>
      </c>
      <c r="L277" s="27"/>
      <c r="M277" s="133" t="s">
        <v>1</v>
      </c>
      <c r="N277" s="134" t="s">
        <v>39</v>
      </c>
      <c r="O277" s="135">
        <v>2E-3</v>
      </c>
      <c r="P277" s="135">
        <f>O277*H277</f>
        <v>2.5988159999999998</v>
      </c>
      <c r="Q277" s="135">
        <v>0</v>
      </c>
      <c r="R277" s="135">
        <f>Q277*H277</f>
        <v>0</v>
      </c>
      <c r="S277" s="135">
        <v>0</v>
      </c>
      <c r="T277" s="136">
        <f>S277*H277</f>
        <v>0</v>
      </c>
      <c r="AR277" s="137" t="s">
        <v>206</v>
      </c>
      <c r="AT277" s="137" t="s">
        <v>144</v>
      </c>
      <c r="AU277" s="137" t="s">
        <v>143</v>
      </c>
      <c r="AY277" s="15" t="s">
        <v>141</v>
      </c>
      <c r="BE277" s="138">
        <f>IF(N277="základní",J277,0)</f>
        <v>0</v>
      </c>
      <c r="BF277" s="138">
        <f>IF(N277="snížená",J277,0)</f>
        <v>1091.5</v>
      </c>
      <c r="BG277" s="138">
        <f>IF(N277="zákl. přenesená",J277,0)</f>
        <v>0</v>
      </c>
      <c r="BH277" s="138">
        <f>IF(N277="sníž. přenesená",J277,0)</f>
        <v>0</v>
      </c>
      <c r="BI277" s="138">
        <f>IF(N277="nulová",J277,0)</f>
        <v>0</v>
      </c>
      <c r="BJ277" s="15" t="s">
        <v>143</v>
      </c>
      <c r="BK277" s="138">
        <f>ROUND(I277*H277,2)</f>
        <v>1091.5</v>
      </c>
      <c r="BL277" s="15" t="s">
        <v>206</v>
      </c>
      <c r="BM277" s="137" t="s">
        <v>613</v>
      </c>
    </row>
    <row r="278" spans="2:65" s="1" customFormat="1" ht="16.5" customHeight="1">
      <c r="B278" s="126"/>
      <c r="C278" s="139" t="s">
        <v>614</v>
      </c>
      <c r="D278" s="139" t="s">
        <v>207</v>
      </c>
      <c r="E278" s="140" t="s">
        <v>606</v>
      </c>
      <c r="F278" s="141" t="s">
        <v>607</v>
      </c>
      <c r="G278" s="142" t="s">
        <v>179</v>
      </c>
      <c r="H278" s="143">
        <v>21.44</v>
      </c>
      <c r="I278" s="144">
        <v>510</v>
      </c>
      <c r="J278" s="144">
        <f>ROUND(I278*H278,2)</f>
        <v>10934.4</v>
      </c>
      <c r="K278" s="141" t="s">
        <v>148</v>
      </c>
      <c r="L278" s="145"/>
      <c r="M278" s="146" t="s">
        <v>1</v>
      </c>
      <c r="N278" s="147" t="s">
        <v>39</v>
      </c>
      <c r="O278" s="135">
        <v>0</v>
      </c>
      <c r="P278" s="135">
        <f>O278*H278</f>
        <v>0</v>
      </c>
      <c r="Q278" s="135">
        <v>1</v>
      </c>
      <c r="R278" s="135">
        <f>Q278*H278</f>
        <v>21.44</v>
      </c>
      <c r="S278" s="135">
        <v>0</v>
      </c>
      <c r="T278" s="136">
        <f>S278*H278</f>
        <v>0</v>
      </c>
      <c r="AR278" s="137" t="s">
        <v>274</v>
      </c>
      <c r="AT278" s="137" t="s">
        <v>207</v>
      </c>
      <c r="AU278" s="137" t="s">
        <v>143</v>
      </c>
      <c r="AY278" s="15" t="s">
        <v>141</v>
      </c>
      <c r="BE278" s="138">
        <f>IF(N278="základní",J278,0)</f>
        <v>0</v>
      </c>
      <c r="BF278" s="138">
        <f>IF(N278="snížená",J278,0)</f>
        <v>10934.4</v>
      </c>
      <c r="BG278" s="138">
        <f>IF(N278="zákl. přenesená",J278,0)</f>
        <v>0</v>
      </c>
      <c r="BH278" s="138">
        <f>IF(N278="sníž. přenesená",J278,0)</f>
        <v>0</v>
      </c>
      <c r="BI278" s="138">
        <f>IF(N278="nulová",J278,0)</f>
        <v>0</v>
      </c>
      <c r="BJ278" s="15" t="s">
        <v>143</v>
      </c>
      <c r="BK278" s="138">
        <f>ROUND(I278*H278,2)</f>
        <v>10934.4</v>
      </c>
      <c r="BL278" s="15" t="s">
        <v>206</v>
      </c>
      <c r="BM278" s="137" t="s">
        <v>615</v>
      </c>
    </row>
    <row r="279" spans="2:65" s="12" customFormat="1">
      <c r="B279" s="148"/>
      <c r="D279" s="149" t="s">
        <v>363</v>
      </c>
      <c r="F279" s="150" t="s">
        <v>1156</v>
      </c>
      <c r="H279" s="151">
        <v>21.44</v>
      </c>
      <c r="L279" s="148"/>
      <c r="M279" s="152"/>
      <c r="T279" s="153"/>
      <c r="AT279" s="154" t="s">
        <v>363</v>
      </c>
      <c r="AU279" s="154" t="s">
        <v>143</v>
      </c>
      <c r="AV279" s="12" t="s">
        <v>143</v>
      </c>
      <c r="AW279" s="12" t="s">
        <v>3</v>
      </c>
      <c r="AX279" s="12" t="s">
        <v>81</v>
      </c>
      <c r="AY279" s="154" t="s">
        <v>141</v>
      </c>
    </row>
    <row r="280" spans="2:65" s="1" customFormat="1" ht="24.2" customHeight="1">
      <c r="B280" s="126"/>
      <c r="C280" s="127" t="s">
        <v>617</v>
      </c>
      <c r="D280" s="127" t="s">
        <v>144</v>
      </c>
      <c r="E280" s="128" t="s">
        <v>618</v>
      </c>
      <c r="F280" s="129" t="s">
        <v>619</v>
      </c>
      <c r="G280" s="130" t="s">
        <v>565</v>
      </c>
      <c r="H280" s="131">
        <v>1550.912</v>
      </c>
      <c r="I280" s="132">
        <v>3.15</v>
      </c>
      <c r="J280" s="132">
        <f>ROUND(I280*H280,2)</f>
        <v>4885.37</v>
      </c>
      <c r="K280" s="129" t="s">
        <v>148</v>
      </c>
      <c r="L280" s="27"/>
      <c r="M280" s="133" t="s">
        <v>1</v>
      </c>
      <c r="N280" s="134" t="s">
        <v>39</v>
      </c>
      <c r="O280" s="135">
        <v>0</v>
      </c>
      <c r="P280" s="135">
        <f>O280*H280</f>
        <v>0</v>
      </c>
      <c r="Q280" s="135">
        <v>0</v>
      </c>
      <c r="R280" s="135">
        <f>Q280*H280</f>
        <v>0</v>
      </c>
      <c r="S280" s="135">
        <v>0</v>
      </c>
      <c r="T280" s="136">
        <f>S280*H280</f>
        <v>0</v>
      </c>
      <c r="AR280" s="137" t="s">
        <v>206</v>
      </c>
      <c r="AT280" s="137" t="s">
        <v>144</v>
      </c>
      <c r="AU280" s="137" t="s">
        <v>143</v>
      </c>
      <c r="AY280" s="15" t="s">
        <v>141</v>
      </c>
      <c r="BE280" s="138">
        <f>IF(N280="základní",J280,0)</f>
        <v>0</v>
      </c>
      <c r="BF280" s="138">
        <f>IF(N280="snížená",J280,0)</f>
        <v>4885.37</v>
      </c>
      <c r="BG280" s="138">
        <f>IF(N280="zákl. přenesená",J280,0)</f>
        <v>0</v>
      </c>
      <c r="BH280" s="138">
        <f>IF(N280="sníž. přenesená",J280,0)</f>
        <v>0</v>
      </c>
      <c r="BI280" s="138">
        <f>IF(N280="nulová",J280,0)</f>
        <v>0</v>
      </c>
      <c r="BJ280" s="15" t="s">
        <v>143</v>
      </c>
      <c r="BK280" s="138">
        <f>ROUND(I280*H280,2)</f>
        <v>4885.37</v>
      </c>
      <c r="BL280" s="15" t="s">
        <v>206</v>
      </c>
      <c r="BM280" s="137" t="s">
        <v>620</v>
      </c>
    </row>
    <row r="281" spans="2:65" s="11" customFormat="1" ht="22.9" customHeight="1">
      <c r="B281" s="115"/>
      <c r="D281" s="116" t="s">
        <v>72</v>
      </c>
      <c r="E281" s="124" t="s">
        <v>621</v>
      </c>
      <c r="F281" s="124" t="s">
        <v>622</v>
      </c>
      <c r="J281" s="125">
        <f>BK281</f>
        <v>1781115.5299999998</v>
      </c>
      <c r="L281" s="115"/>
      <c r="M281" s="119"/>
      <c r="P281" s="120">
        <f>SUM(P282:P313)</f>
        <v>319.492908</v>
      </c>
      <c r="R281" s="120">
        <f>SUM(R282:R313)</f>
        <v>14.184089699999999</v>
      </c>
      <c r="T281" s="121">
        <f>SUM(T282:T313)</f>
        <v>0</v>
      </c>
      <c r="AR281" s="116" t="s">
        <v>143</v>
      </c>
      <c r="AT281" s="122" t="s">
        <v>72</v>
      </c>
      <c r="AU281" s="122" t="s">
        <v>81</v>
      </c>
      <c r="AY281" s="116" t="s">
        <v>141</v>
      </c>
      <c r="BK281" s="123">
        <f>SUM(BK282:BK313)</f>
        <v>1781115.5299999998</v>
      </c>
    </row>
    <row r="282" spans="2:65" s="1" customFormat="1" ht="24.2" customHeight="1">
      <c r="B282" s="126"/>
      <c r="C282" s="127" t="s">
        <v>623</v>
      </c>
      <c r="D282" s="127" t="s">
        <v>144</v>
      </c>
      <c r="E282" s="128" t="s">
        <v>624</v>
      </c>
      <c r="F282" s="129" t="s">
        <v>625</v>
      </c>
      <c r="G282" s="130" t="s">
        <v>157</v>
      </c>
      <c r="H282" s="131">
        <v>650.88</v>
      </c>
      <c r="I282" s="132">
        <v>58.8</v>
      </c>
      <c r="J282" s="132">
        <f>ROUND(I282*H282,2)</f>
        <v>38271.74</v>
      </c>
      <c r="K282" s="129" t="s">
        <v>148</v>
      </c>
      <c r="L282" s="27"/>
      <c r="M282" s="133" t="s">
        <v>1</v>
      </c>
      <c r="N282" s="134" t="s">
        <v>39</v>
      </c>
      <c r="O282" s="135">
        <v>0.14000000000000001</v>
      </c>
      <c r="P282" s="135">
        <f>O282*H282</f>
        <v>91.123200000000011</v>
      </c>
      <c r="Q282" s="135">
        <v>0</v>
      </c>
      <c r="R282" s="135">
        <f>Q282*H282</f>
        <v>0</v>
      </c>
      <c r="S282" s="135">
        <v>0</v>
      </c>
      <c r="T282" s="136">
        <f>S282*H282</f>
        <v>0</v>
      </c>
      <c r="AR282" s="137" t="s">
        <v>149</v>
      </c>
      <c r="AT282" s="137" t="s">
        <v>144</v>
      </c>
      <c r="AU282" s="137" t="s">
        <v>143</v>
      </c>
      <c r="AY282" s="15" t="s">
        <v>141</v>
      </c>
      <c r="BE282" s="138">
        <f>IF(N282="základní",J282,0)</f>
        <v>0</v>
      </c>
      <c r="BF282" s="138">
        <f>IF(N282="snížená",J282,0)</f>
        <v>38271.74</v>
      </c>
      <c r="BG282" s="138">
        <f>IF(N282="zákl. přenesená",J282,0)</f>
        <v>0</v>
      </c>
      <c r="BH282" s="138">
        <f>IF(N282="sníž. přenesená",J282,0)</f>
        <v>0</v>
      </c>
      <c r="BI282" s="138">
        <f>IF(N282="nulová",J282,0)</f>
        <v>0</v>
      </c>
      <c r="BJ282" s="15" t="s">
        <v>143</v>
      </c>
      <c r="BK282" s="138">
        <f>ROUND(I282*H282,2)</f>
        <v>38271.74</v>
      </c>
      <c r="BL282" s="15" t="s">
        <v>149</v>
      </c>
      <c r="BM282" s="137" t="s">
        <v>626</v>
      </c>
    </row>
    <row r="283" spans="2:65" s="1" customFormat="1" ht="24.2" customHeight="1">
      <c r="B283" s="126"/>
      <c r="C283" s="139" t="s">
        <v>627</v>
      </c>
      <c r="D283" s="139" t="s">
        <v>207</v>
      </c>
      <c r="E283" s="140" t="s">
        <v>628</v>
      </c>
      <c r="F283" s="141" t="s">
        <v>629</v>
      </c>
      <c r="G283" s="142" t="s">
        <v>157</v>
      </c>
      <c r="H283" s="143">
        <v>663.89800000000002</v>
      </c>
      <c r="I283" s="144">
        <v>326</v>
      </c>
      <c r="J283" s="144">
        <f>ROUND(I283*H283,2)</f>
        <v>216430.75</v>
      </c>
      <c r="K283" s="141" t="s">
        <v>148</v>
      </c>
      <c r="L283" s="145"/>
      <c r="M283" s="146" t="s">
        <v>1</v>
      </c>
      <c r="N283" s="147" t="s">
        <v>39</v>
      </c>
      <c r="O283" s="135">
        <v>0</v>
      </c>
      <c r="P283" s="135">
        <f>O283*H283</f>
        <v>0</v>
      </c>
      <c r="Q283" s="135">
        <v>2.8999999999999998E-3</v>
      </c>
      <c r="R283" s="135">
        <f>Q283*H283</f>
        <v>1.9253042</v>
      </c>
      <c r="S283" s="135">
        <v>0</v>
      </c>
      <c r="T283" s="136">
        <f>S283*H283</f>
        <v>0</v>
      </c>
      <c r="AR283" s="137" t="s">
        <v>172</v>
      </c>
      <c r="AT283" s="137" t="s">
        <v>207</v>
      </c>
      <c r="AU283" s="137" t="s">
        <v>143</v>
      </c>
      <c r="AY283" s="15" t="s">
        <v>141</v>
      </c>
      <c r="BE283" s="138">
        <f>IF(N283="základní",J283,0)</f>
        <v>0</v>
      </c>
      <c r="BF283" s="138">
        <f>IF(N283="snížená",J283,0)</f>
        <v>216430.75</v>
      </c>
      <c r="BG283" s="138">
        <f>IF(N283="zákl. přenesená",J283,0)</f>
        <v>0</v>
      </c>
      <c r="BH283" s="138">
        <f>IF(N283="sníž. přenesená",J283,0)</f>
        <v>0</v>
      </c>
      <c r="BI283" s="138">
        <f>IF(N283="nulová",J283,0)</f>
        <v>0</v>
      </c>
      <c r="BJ283" s="15" t="s">
        <v>143</v>
      </c>
      <c r="BK283" s="138">
        <f>ROUND(I283*H283,2)</f>
        <v>216430.75</v>
      </c>
      <c r="BL283" s="15" t="s">
        <v>149</v>
      </c>
      <c r="BM283" s="137" t="s">
        <v>630</v>
      </c>
    </row>
    <row r="284" spans="2:65" s="12" customFormat="1">
      <c r="B284" s="148"/>
      <c r="D284" s="149" t="s">
        <v>363</v>
      </c>
      <c r="F284" s="150" t="s">
        <v>1157</v>
      </c>
      <c r="H284" s="151">
        <v>663.89800000000002</v>
      </c>
      <c r="L284" s="148"/>
      <c r="M284" s="152"/>
      <c r="T284" s="153"/>
      <c r="AT284" s="154" t="s">
        <v>363</v>
      </c>
      <c r="AU284" s="154" t="s">
        <v>143</v>
      </c>
      <c r="AV284" s="12" t="s">
        <v>143</v>
      </c>
      <c r="AW284" s="12" t="s">
        <v>3</v>
      </c>
      <c r="AX284" s="12" t="s">
        <v>81</v>
      </c>
      <c r="AY284" s="154" t="s">
        <v>141</v>
      </c>
    </row>
    <row r="285" spans="2:65" s="1" customFormat="1" ht="24.2" customHeight="1">
      <c r="B285" s="126"/>
      <c r="C285" s="139" t="s">
        <v>632</v>
      </c>
      <c r="D285" s="139" t="s">
        <v>207</v>
      </c>
      <c r="E285" s="140" t="s">
        <v>633</v>
      </c>
      <c r="F285" s="141" t="s">
        <v>634</v>
      </c>
      <c r="G285" s="142" t="s">
        <v>157</v>
      </c>
      <c r="H285" s="143">
        <v>663.89800000000002</v>
      </c>
      <c r="I285" s="144">
        <v>492</v>
      </c>
      <c r="J285" s="144">
        <f>ROUND(I285*H285,2)</f>
        <v>326637.82</v>
      </c>
      <c r="K285" s="141" t="s">
        <v>148</v>
      </c>
      <c r="L285" s="145"/>
      <c r="M285" s="146" t="s">
        <v>1</v>
      </c>
      <c r="N285" s="147" t="s">
        <v>39</v>
      </c>
      <c r="O285" s="135">
        <v>0</v>
      </c>
      <c r="P285" s="135">
        <f>O285*H285</f>
        <v>0</v>
      </c>
      <c r="Q285" s="135">
        <v>4.4999999999999997E-3</v>
      </c>
      <c r="R285" s="135">
        <f>Q285*H285</f>
        <v>2.9875409999999998</v>
      </c>
      <c r="S285" s="135">
        <v>0</v>
      </c>
      <c r="T285" s="136">
        <f>S285*H285</f>
        <v>0</v>
      </c>
      <c r="AR285" s="137" t="s">
        <v>172</v>
      </c>
      <c r="AT285" s="137" t="s">
        <v>207</v>
      </c>
      <c r="AU285" s="137" t="s">
        <v>143</v>
      </c>
      <c r="AY285" s="15" t="s">
        <v>141</v>
      </c>
      <c r="BE285" s="138">
        <f>IF(N285="základní",J285,0)</f>
        <v>0</v>
      </c>
      <c r="BF285" s="138">
        <f>IF(N285="snížená",J285,0)</f>
        <v>326637.82</v>
      </c>
      <c r="BG285" s="138">
        <f>IF(N285="zákl. přenesená",J285,0)</f>
        <v>0</v>
      </c>
      <c r="BH285" s="138">
        <f>IF(N285="sníž. přenesená",J285,0)</f>
        <v>0</v>
      </c>
      <c r="BI285" s="138">
        <f>IF(N285="nulová",J285,0)</f>
        <v>0</v>
      </c>
      <c r="BJ285" s="15" t="s">
        <v>143</v>
      </c>
      <c r="BK285" s="138">
        <f>ROUND(I285*H285,2)</f>
        <v>326637.82</v>
      </c>
      <c r="BL285" s="15" t="s">
        <v>149</v>
      </c>
      <c r="BM285" s="137" t="s">
        <v>635</v>
      </c>
    </row>
    <row r="286" spans="2:65" s="12" customFormat="1">
      <c r="B286" s="148"/>
      <c r="D286" s="149" t="s">
        <v>363</v>
      </c>
      <c r="F286" s="150" t="s">
        <v>1157</v>
      </c>
      <c r="H286" s="151">
        <v>663.89800000000002</v>
      </c>
      <c r="L286" s="148"/>
      <c r="M286" s="152"/>
      <c r="T286" s="153"/>
      <c r="AT286" s="154" t="s">
        <v>363</v>
      </c>
      <c r="AU286" s="154" t="s">
        <v>143</v>
      </c>
      <c r="AV286" s="12" t="s">
        <v>143</v>
      </c>
      <c r="AW286" s="12" t="s">
        <v>3</v>
      </c>
      <c r="AX286" s="12" t="s">
        <v>81</v>
      </c>
      <c r="AY286" s="154" t="s">
        <v>141</v>
      </c>
    </row>
    <row r="287" spans="2:65" s="1" customFormat="1" ht="24.2" customHeight="1">
      <c r="B287" s="126"/>
      <c r="C287" s="127" t="s">
        <v>636</v>
      </c>
      <c r="D287" s="127" t="s">
        <v>144</v>
      </c>
      <c r="E287" s="128" t="s">
        <v>624</v>
      </c>
      <c r="F287" s="129" t="s">
        <v>625</v>
      </c>
      <c r="G287" s="130" t="s">
        <v>157</v>
      </c>
      <c r="H287" s="131">
        <v>394.416</v>
      </c>
      <c r="I287" s="132">
        <v>58.8</v>
      </c>
      <c r="J287" s="132">
        <f>ROUND(I287*H287,2)</f>
        <v>23191.66</v>
      </c>
      <c r="K287" s="129" t="s">
        <v>148</v>
      </c>
      <c r="L287" s="27"/>
      <c r="M287" s="133" t="s">
        <v>1</v>
      </c>
      <c r="N287" s="134" t="s">
        <v>39</v>
      </c>
      <c r="O287" s="135">
        <v>0.14000000000000001</v>
      </c>
      <c r="P287" s="135">
        <f>O287*H287</f>
        <v>55.218240000000002</v>
      </c>
      <c r="Q287" s="135">
        <v>0</v>
      </c>
      <c r="R287" s="135">
        <f>Q287*H287</f>
        <v>0</v>
      </c>
      <c r="S287" s="135">
        <v>0</v>
      </c>
      <c r="T287" s="136">
        <f>S287*H287</f>
        <v>0</v>
      </c>
      <c r="AR287" s="137" t="s">
        <v>206</v>
      </c>
      <c r="AT287" s="137" t="s">
        <v>144</v>
      </c>
      <c r="AU287" s="137" t="s">
        <v>143</v>
      </c>
      <c r="AY287" s="15" t="s">
        <v>141</v>
      </c>
      <c r="BE287" s="138">
        <f>IF(N287="základní",J287,0)</f>
        <v>0</v>
      </c>
      <c r="BF287" s="138">
        <f>IF(N287="snížená",J287,0)</f>
        <v>23191.66</v>
      </c>
      <c r="BG287" s="138">
        <f>IF(N287="zákl. přenesená",J287,0)</f>
        <v>0</v>
      </c>
      <c r="BH287" s="138">
        <f>IF(N287="sníž. přenesená",J287,0)</f>
        <v>0</v>
      </c>
      <c r="BI287" s="138">
        <f>IF(N287="nulová",J287,0)</f>
        <v>0</v>
      </c>
      <c r="BJ287" s="15" t="s">
        <v>143</v>
      </c>
      <c r="BK287" s="138">
        <f>ROUND(I287*H287,2)</f>
        <v>23191.66</v>
      </c>
      <c r="BL287" s="15" t="s">
        <v>206</v>
      </c>
      <c r="BM287" s="137" t="s">
        <v>637</v>
      </c>
    </row>
    <row r="288" spans="2:65" s="1" customFormat="1" ht="55.5" customHeight="1">
      <c r="B288" s="126"/>
      <c r="C288" s="139" t="s">
        <v>638</v>
      </c>
      <c r="D288" s="139" t="s">
        <v>207</v>
      </c>
      <c r="E288" s="140" t="s">
        <v>639</v>
      </c>
      <c r="F288" s="141" t="s">
        <v>640</v>
      </c>
      <c r="G288" s="142" t="s">
        <v>157</v>
      </c>
      <c r="H288" s="143">
        <v>402.30399999999997</v>
      </c>
      <c r="I288" s="144">
        <v>57.65</v>
      </c>
      <c r="J288" s="144">
        <f>ROUND(I288*H288,2)</f>
        <v>23192.83</v>
      </c>
      <c r="K288" s="141" t="s">
        <v>1</v>
      </c>
      <c r="L288" s="145"/>
      <c r="M288" s="146" t="s">
        <v>1</v>
      </c>
      <c r="N288" s="147" t="s">
        <v>39</v>
      </c>
      <c r="O288" s="135">
        <v>0</v>
      </c>
      <c r="P288" s="135">
        <f>O288*H288</f>
        <v>0</v>
      </c>
      <c r="Q288" s="135">
        <v>2.0000000000000001E-4</v>
      </c>
      <c r="R288" s="135">
        <f>Q288*H288</f>
        <v>8.0460799999999999E-2</v>
      </c>
      <c r="S288" s="135">
        <v>0</v>
      </c>
      <c r="T288" s="136">
        <f>S288*H288</f>
        <v>0</v>
      </c>
      <c r="AR288" s="137" t="s">
        <v>274</v>
      </c>
      <c r="AT288" s="137" t="s">
        <v>207</v>
      </c>
      <c r="AU288" s="137" t="s">
        <v>143</v>
      </c>
      <c r="AY288" s="15" t="s">
        <v>141</v>
      </c>
      <c r="BE288" s="138">
        <f>IF(N288="základní",J288,0)</f>
        <v>0</v>
      </c>
      <c r="BF288" s="138">
        <f>IF(N288="snížená",J288,0)</f>
        <v>23192.83</v>
      </c>
      <c r="BG288" s="138">
        <f>IF(N288="zákl. přenesená",J288,0)</f>
        <v>0</v>
      </c>
      <c r="BH288" s="138">
        <f>IF(N288="sníž. přenesená",J288,0)</f>
        <v>0</v>
      </c>
      <c r="BI288" s="138">
        <f>IF(N288="nulová",J288,0)</f>
        <v>0</v>
      </c>
      <c r="BJ288" s="15" t="s">
        <v>143</v>
      </c>
      <c r="BK288" s="138">
        <f>ROUND(I288*H288,2)</f>
        <v>23192.83</v>
      </c>
      <c r="BL288" s="15" t="s">
        <v>206</v>
      </c>
      <c r="BM288" s="137" t="s">
        <v>641</v>
      </c>
    </row>
    <row r="289" spans="2:65" s="12" customFormat="1">
      <c r="B289" s="148"/>
      <c r="D289" s="149" t="s">
        <v>363</v>
      </c>
      <c r="F289" s="150" t="s">
        <v>1158</v>
      </c>
      <c r="H289" s="151">
        <v>402.30399999999997</v>
      </c>
      <c r="L289" s="148"/>
      <c r="M289" s="152"/>
      <c r="T289" s="153"/>
      <c r="AT289" s="154" t="s">
        <v>363</v>
      </c>
      <c r="AU289" s="154" t="s">
        <v>143</v>
      </c>
      <c r="AV289" s="12" t="s">
        <v>143</v>
      </c>
      <c r="AW289" s="12" t="s">
        <v>3</v>
      </c>
      <c r="AX289" s="12" t="s">
        <v>81</v>
      </c>
      <c r="AY289" s="154" t="s">
        <v>141</v>
      </c>
    </row>
    <row r="290" spans="2:65" s="1" customFormat="1" ht="55.5" customHeight="1">
      <c r="B290" s="126"/>
      <c r="C290" s="139" t="s">
        <v>643</v>
      </c>
      <c r="D290" s="139" t="s">
        <v>207</v>
      </c>
      <c r="E290" s="140" t="s">
        <v>644</v>
      </c>
      <c r="F290" s="141" t="s">
        <v>645</v>
      </c>
      <c r="G290" s="142" t="s">
        <v>157</v>
      </c>
      <c r="H290" s="143">
        <v>402.30399999999997</v>
      </c>
      <c r="I290" s="144">
        <v>86.47</v>
      </c>
      <c r="J290" s="144">
        <f>ROUND(I290*H290,2)</f>
        <v>34787.230000000003</v>
      </c>
      <c r="K290" s="141" t="s">
        <v>1</v>
      </c>
      <c r="L290" s="145"/>
      <c r="M290" s="146" t="s">
        <v>1</v>
      </c>
      <c r="N290" s="147" t="s">
        <v>39</v>
      </c>
      <c r="O290" s="135">
        <v>0</v>
      </c>
      <c r="P290" s="135">
        <f>O290*H290</f>
        <v>0</v>
      </c>
      <c r="Q290" s="135">
        <v>4.0000000000000002E-4</v>
      </c>
      <c r="R290" s="135">
        <f>Q290*H290</f>
        <v>0.1609216</v>
      </c>
      <c r="S290" s="135">
        <v>0</v>
      </c>
      <c r="T290" s="136">
        <f>S290*H290</f>
        <v>0</v>
      </c>
      <c r="AR290" s="137" t="s">
        <v>274</v>
      </c>
      <c r="AT290" s="137" t="s">
        <v>207</v>
      </c>
      <c r="AU290" s="137" t="s">
        <v>143</v>
      </c>
      <c r="AY290" s="15" t="s">
        <v>141</v>
      </c>
      <c r="BE290" s="138">
        <f>IF(N290="základní",J290,0)</f>
        <v>0</v>
      </c>
      <c r="BF290" s="138">
        <f>IF(N290="snížená",J290,0)</f>
        <v>34787.230000000003</v>
      </c>
      <c r="BG290" s="138">
        <f>IF(N290="zákl. přenesená",J290,0)</f>
        <v>0</v>
      </c>
      <c r="BH290" s="138">
        <f>IF(N290="sníž. přenesená",J290,0)</f>
        <v>0</v>
      </c>
      <c r="BI290" s="138">
        <f>IF(N290="nulová",J290,0)</f>
        <v>0</v>
      </c>
      <c r="BJ290" s="15" t="s">
        <v>143</v>
      </c>
      <c r="BK290" s="138">
        <f>ROUND(I290*H290,2)</f>
        <v>34787.230000000003</v>
      </c>
      <c r="BL290" s="15" t="s">
        <v>206</v>
      </c>
      <c r="BM290" s="137" t="s">
        <v>646</v>
      </c>
    </row>
    <row r="291" spans="2:65" s="12" customFormat="1">
      <c r="B291" s="148"/>
      <c r="D291" s="149" t="s">
        <v>363</v>
      </c>
      <c r="F291" s="150" t="s">
        <v>1158</v>
      </c>
      <c r="H291" s="151">
        <v>402.30399999999997</v>
      </c>
      <c r="L291" s="148"/>
      <c r="M291" s="152"/>
      <c r="T291" s="153"/>
      <c r="AT291" s="154" t="s">
        <v>363</v>
      </c>
      <c r="AU291" s="154" t="s">
        <v>143</v>
      </c>
      <c r="AV291" s="12" t="s">
        <v>143</v>
      </c>
      <c r="AW291" s="12" t="s">
        <v>3</v>
      </c>
      <c r="AX291" s="12" t="s">
        <v>81</v>
      </c>
      <c r="AY291" s="154" t="s">
        <v>141</v>
      </c>
    </row>
    <row r="292" spans="2:65" s="1" customFormat="1" ht="24.2" customHeight="1">
      <c r="B292" s="126"/>
      <c r="C292" s="127" t="s">
        <v>647</v>
      </c>
      <c r="D292" s="127" t="s">
        <v>144</v>
      </c>
      <c r="E292" s="128" t="s">
        <v>648</v>
      </c>
      <c r="F292" s="129" t="s">
        <v>649</v>
      </c>
      <c r="G292" s="130" t="s">
        <v>157</v>
      </c>
      <c r="H292" s="131">
        <v>73.158000000000001</v>
      </c>
      <c r="I292" s="132">
        <v>211</v>
      </c>
      <c r="J292" s="132">
        <f>ROUND(I292*H292,2)</f>
        <v>15436.34</v>
      </c>
      <c r="K292" s="129" t="s">
        <v>148</v>
      </c>
      <c r="L292" s="27"/>
      <c r="M292" s="133" t="s">
        <v>1</v>
      </c>
      <c r="N292" s="134" t="s">
        <v>39</v>
      </c>
      <c r="O292" s="135">
        <v>0.21099999999999999</v>
      </c>
      <c r="P292" s="135">
        <f>O292*H292</f>
        <v>15.436337999999999</v>
      </c>
      <c r="Q292" s="135">
        <v>6.0000000000000001E-3</v>
      </c>
      <c r="R292" s="135">
        <f>Q292*H292</f>
        <v>0.438948</v>
      </c>
      <c r="S292" s="135">
        <v>0</v>
      </c>
      <c r="T292" s="136">
        <f>S292*H292</f>
        <v>0</v>
      </c>
      <c r="AR292" s="137" t="s">
        <v>206</v>
      </c>
      <c r="AT292" s="137" t="s">
        <v>144</v>
      </c>
      <c r="AU292" s="137" t="s">
        <v>143</v>
      </c>
      <c r="AY292" s="15" t="s">
        <v>141</v>
      </c>
      <c r="BE292" s="138">
        <f>IF(N292="základní",J292,0)</f>
        <v>0</v>
      </c>
      <c r="BF292" s="138">
        <f>IF(N292="snížená",J292,0)</f>
        <v>15436.34</v>
      </c>
      <c r="BG292" s="138">
        <f>IF(N292="zákl. přenesená",J292,0)</f>
        <v>0</v>
      </c>
      <c r="BH292" s="138">
        <f>IF(N292="sníž. přenesená",J292,0)</f>
        <v>0</v>
      </c>
      <c r="BI292" s="138">
        <f>IF(N292="nulová",J292,0)</f>
        <v>0</v>
      </c>
      <c r="BJ292" s="15" t="s">
        <v>143</v>
      </c>
      <c r="BK292" s="138">
        <f>ROUND(I292*H292,2)</f>
        <v>15436.34</v>
      </c>
      <c r="BL292" s="15" t="s">
        <v>206</v>
      </c>
      <c r="BM292" s="137" t="s">
        <v>650</v>
      </c>
    </row>
    <row r="293" spans="2:65" s="1" customFormat="1" ht="24.2" customHeight="1">
      <c r="B293" s="126"/>
      <c r="C293" s="139" t="s">
        <v>651</v>
      </c>
      <c r="D293" s="139" t="s">
        <v>207</v>
      </c>
      <c r="E293" s="140" t="s">
        <v>652</v>
      </c>
      <c r="F293" s="141" t="s">
        <v>653</v>
      </c>
      <c r="G293" s="142" t="s">
        <v>157</v>
      </c>
      <c r="H293" s="143">
        <v>76.816000000000003</v>
      </c>
      <c r="I293" s="144">
        <v>791.43</v>
      </c>
      <c r="J293" s="144">
        <f>ROUND(I293*H293,2)</f>
        <v>60794.49</v>
      </c>
      <c r="K293" s="141" t="s">
        <v>1</v>
      </c>
      <c r="L293" s="145"/>
      <c r="M293" s="146" t="s">
        <v>1</v>
      </c>
      <c r="N293" s="147" t="s">
        <v>39</v>
      </c>
      <c r="O293" s="135">
        <v>0</v>
      </c>
      <c r="P293" s="135">
        <f>O293*H293</f>
        <v>0</v>
      </c>
      <c r="Q293" s="135">
        <v>4.0000000000000001E-3</v>
      </c>
      <c r="R293" s="135">
        <f>Q293*H293</f>
        <v>0.30726400000000004</v>
      </c>
      <c r="S293" s="135">
        <v>0</v>
      </c>
      <c r="T293" s="136">
        <f>S293*H293</f>
        <v>0</v>
      </c>
      <c r="AR293" s="137" t="s">
        <v>274</v>
      </c>
      <c r="AT293" s="137" t="s">
        <v>207</v>
      </c>
      <c r="AU293" s="137" t="s">
        <v>143</v>
      </c>
      <c r="AY293" s="15" t="s">
        <v>141</v>
      </c>
      <c r="BE293" s="138">
        <f>IF(N293="základní",J293,0)</f>
        <v>0</v>
      </c>
      <c r="BF293" s="138">
        <f>IF(N293="snížená",J293,0)</f>
        <v>60794.49</v>
      </c>
      <c r="BG293" s="138">
        <f>IF(N293="zákl. přenesená",J293,0)</f>
        <v>0</v>
      </c>
      <c r="BH293" s="138">
        <f>IF(N293="sníž. přenesená",J293,0)</f>
        <v>0</v>
      </c>
      <c r="BI293" s="138">
        <f>IF(N293="nulová",J293,0)</f>
        <v>0</v>
      </c>
      <c r="BJ293" s="15" t="s">
        <v>143</v>
      </c>
      <c r="BK293" s="138">
        <f>ROUND(I293*H293,2)</f>
        <v>60794.49</v>
      </c>
      <c r="BL293" s="15" t="s">
        <v>206</v>
      </c>
      <c r="BM293" s="137" t="s">
        <v>654</v>
      </c>
    </row>
    <row r="294" spans="2:65" s="12" customFormat="1">
      <c r="B294" s="148"/>
      <c r="D294" s="149" t="s">
        <v>363</v>
      </c>
      <c r="F294" s="150" t="s">
        <v>1159</v>
      </c>
      <c r="H294" s="151">
        <v>76.816000000000003</v>
      </c>
      <c r="L294" s="148"/>
      <c r="M294" s="152"/>
      <c r="T294" s="153"/>
      <c r="AT294" s="154" t="s">
        <v>363</v>
      </c>
      <c r="AU294" s="154" t="s">
        <v>143</v>
      </c>
      <c r="AV294" s="12" t="s">
        <v>143</v>
      </c>
      <c r="AW294" s="12" t="s">
        <v>3</v>
      </c>
      <c r="AX294" s="12" t="s">
        <v>81</v>
      </c>
      <c r="AY294" s="154" t="s">
        <v>141</v>
      </c>
    </row>
    <row r="295" spans="2:65" s="1" customFormat="1" ht="24.2" customHeight="1">
      <c r="B295" s="126"/>
      <c r="C295" s="127" t="s">
        <v>656</v>
      </c>
      <c r="D295" s="127" t="s">
        <v>144</v>
      </c>
      <c r="E295" s="128" t="s">
        <v>657</v>
      </c>
      <c r="F295" s="129" t="s">
        <v>658</v>
      </c>
      <c r="G295" s="130" t="s">
        <v>157</v>
      </c>
      <c r="H295" s="131">
        <v>142.935</v>
      </c>
      <c r="I295" s="132">
        <v>71.400000000000006</v>
      </c>
      <c r="J295" s="132">
        <f>ROUND(I295*H295,2)</f>
        <v>10205.56</v>
      </c>
      <c r="K295" s="129" t="s">
        <v>148</v>
      </c>
      <c r="L295" s="27"/>
      <c r="M295" s="133" t="s">
        <v>1</v>
      </c>
      <c r="N295" s="134" t="s">
        <v>39</v>
      </c>
      <c r="O295" s="135">
        <v>0.17</v>
      </c>
      <c r="P295" s="135">
        <f>O295*H295</f>
        <v>24.298950000000001</v>
      </c>
      <c r="Q295" s="135">
        <v>0</v>
      </c>
      <c r="R295" s="135">
        <f>Q295*H295</f>
        <v>0</v>
      </c>
      <c r="S295" s="135">
        <v>0</v>
      </c>
      <c r="T295" s="136">
        <f>S295*H295</f>
        <v>0</v>
      </c>
      <c r="AR295" s="137" t="s">
        <v>206</v>
      </c>
      <c r="AT295" s="137" t="s">
        <v>144</v>
      </c>
      <c r="AU295" s="137" t="s">
        <v>143</v>
      </c>
      <c r="AY295" s="15" t="s">
        <v>141</v>
      </c>
      <c r="BE295" s="138">
        <f>IF(N295="základní",J295,0)</f>
        <v>0</v>
      </c>
      <c r="BF295" s="138">
        <f>IF(N295="snížená",J295,0)</f>
        <v>10205.56</v>
      </c>
      <c r="BG295" s="138">
        <f>IF(N295="zákl. přenesená",J295,0)</f>
        <v>0</v>
      </c>
      <c r="BH295" s="138">
        <f>IF(N295="sníž. přenesená",J295,0)</f>
        <v>0</v>
      </c>
      <c r="BI295" s="138">
        <f>IF(N295="nulová",J295,0)</f>
        <v>0</v>
      </c>
      <c r="BJ295" s="15" t="s">
        <v>143</v>
      </c>
      <c r="BK295" s="138">
        <f>ROUND(I295*H295,2)</f>
        <v>10205.56</v>
      </c>
      <c r="BL295" s="15" t="s">
        <v>206</v>
      </c>
      <c r="BM295" s="137" t="s">
        <v>659</v>
      </c>
    </row>
    <row r="296" spans="2:65" s="1" customFormat="1" ht="24.2" customHeight="1">
      <c r="B296" s="126"/>
      <c r="C296" s="139" t="s">
        <v>660</v>
      </c>
      <c r="D296" s="139" t="s">
        <v>207</v>
      </c>
      <c r="E296" s="140" t="s">
        <v>661</v>
      </c>
      <c r="F296" s="141" t="s">
        <v>662</v>
      </c>
      <c r="G296" s="142" t="s">
        <v>157</v>
      </c>
      <c r="H296" s="143">
        <v>145.79400000000001</v>
      </c>
      <c r="I296" s="144">
        <v>396</v>
      </c>
      <c r="J296" s="144">
        <f>ROUND(I296*H296,2)</f>
        <v>57734.42</v>
      </c>
      <c r="K296" s="141" t="s">
        <v>148</v>
      </c>
      <c r="L296" s="145"/>
      <c r="M296" s="146" t="s">
        <v>1</v>
      </c>
      <c r="N296" s="147" t="s">
        <v>39</v>
      </c>
      <c r="O296" s="135">
        <v>0</v>
      </c>
      <c r="P296" s="135">
        <f>O296*H296</f>
        <v>0</v>
      </c>
      <c r="Q296" s="135">
        <v>3.7499999999999999E-3</v>
      </c>
      <c r="R296" s="135">
        <f>Q296*H296</f>
        <v>0.54672750000000003</v>
      </c>
      <c r="S296" s="135">
        <v>0</v>
      </c>
      <c r="T296" s="136">
        <f>S296*H296</f>
        <v>0</v>
      </c>
      <c r="AR296" s="137" t="s">
        <v>274</v>
      </c>
      <c r="AT296" s="137" t="s">
        <v>207</v>
      </c>
      <c r="AU296" s="137" t="s">
        <v>143</v>
      </c>
      <c r="AY296" s="15" t="s">
        <v>141</v>
      </c>
      <c r="BE296" s="138">
        <f>IF(N296="základní",J296,0)</f>
        <v>0</v>
      </c>
      <c r="BF296" s="138">
        <f>IF(N296="snížená",J296,0)</f>
        <v>57734.42</v>
      </c>
      <c r="BG296" s="138">
        <f>IF(N296="zákl. přenesená",J296,0)</f>
        <v>0</v>
      </c>
      <c r="BH296" s="138">
        <f>IF(N296="sníž. přenesená",J296,0)</f>
        <v>0</v>
      </c>
      <c r="BI296" s="138">
        <f>IF(N296="nulová",J296,0)</f>
        <v>0</v>
      </c>
      <c r="BJ296" s="15" t="s">
        <v>143</v>
      </c>
      <c r="BK296" s="138">
        <f>ROUND(I296*H296,2)</f>
        <v>57734.42</v>
      </c>
      <c r="BL296" s="15" t="s">
        <v>206</v>
      </c>
      <c r="BM296" s="137" t="s">
        <v>663</v>
      </c>
    </row>
    <row r="297" spans="2:65" s="12" customFormat="1">
      <c r="B297" s="148"/>
      <c r="D297" s="149" t="s">
        <v>363</v>
      </c>
      <c r="F297" s="150" t="s">
        <v>1160</v>
      </c>
      <c r="H297" s="151">
        <v>145.79400000000001</v>
      </c>
      <c r="L297" s="148"/>
      <c r="M297" s="152"/>
      <c r="T297" s="153"/>
      <c r="AT297" s="154" t="s">
        <v>363</v>
      </c>
      <c r="AU297" s="154" t="s">
        <v>143</v>
      </c>
      <c r="AV297" s="12" t="s">
        <v>143</v>
      </c>
      <c r="AW297" s="12" t="s">
        <v>3</v>
      </c>
      <c r="AX297" s="12" t="s">
        <v>81</v>
      </c>
      <c r="AY297" s="154" t="s">
        <v>141</v>
      </c>
    </row>
    <row r="298" spans="2:65" s="1" customFormat="1" ht="24.2" customHeight="1">
      <c r="B298" s="126"/>
      <c r="C298" s="139" t="s">
        <v>665</v>
      </c>
      <c r="D298" s="139" t="s">
        <v>207</v>
      </c>
      <c r="E298" s="140" t="s">
        <v>666</v>
      </c>
      <c r="F298" s="141" t="s">
        <v>667</v>
      </c>
      <c r="G298" s="142" t="s">
        <v>157</v>
      </c>
      <c r="H298" s="143">
        <v>145.79400000000001</v>
      </c>
      <c r="I298" s="144">
        <v>528</v>
      </c>
      <c r="J298" s="144">
        <f>ROUND(I298*H298,2)</f>
        <v>76979.23</v>
      </c>
      <c r="K298" s="141" t="s">
        <v>148</v>
      </c>
      <c r="L298" s="145"/>
      <c r="M298" s="146" t="s">
        <v>1</v>
      </c>
      <c r="N298" s="147" t="s">
        <v>39</v>
      </c>
      <c r="O298" s="135">
        <v>0</v>
      </c>
      <c r="P298" s="135">
        <f>O298*H298</f>
        <v>0</v>
      </c>
      <c r="Q298" s="135">
        <v>5.0000000000000001E-3</v>
      </c>
      <c r="R298" s="135">
        <f>Q298*H298</f>
        <v>0.72897000000000012</v>
      </c>
      <c r="S298" s="135">
        <v>0</v>
      </c>
      <c r="T298" s="136">
        <f>S298*H298</f>
        <v>0</v>
      </c>
      <c r="AR298" s="137" t="s">
        <v>274</v>
      </c>
      <c r="AT298" s="137" t="s">
        <v>207</v>
      </c>
      <c r="AU298" s="137" t="s">
        <v>143</v>
      </c>
      <c r="AY298" s="15" t="s">
        <v>141</v>
      </c>
      <c r="BE298" s="138">
        <f>IF(N298="základní",J298,0)</f>
        <v>0</v>
      </c>
      <c r="BF298" s="138">
        <f>IF(N298="snížená",J298,0)</f>
        <v>76979.23</v>
      </c>
      <c r="BG298" s="138">
        <f>IF(N298="zákl. přenesená",J298,0)</f>
        <v>0</v>
      </c>
      <c r="BH298" s="138">
        <f>IF(N298="sníž. přenesená",J298,0)</f>
        <v>0</v>
      </c>
      <c r="BI298" s="138">
        <f>IF(N298="nulová",J298,0)</f>
        <v>0</v>
      </c>
      <c r="BJ298" s="15" t="s">
        <v>143</v>
      </c>
      <c r="BK298" s="138">
        <f>ROUND(I298*H298,2)</f>
        <v>76979.23</v>
      </c>
      <c r="BL298" s="15" t="s">
        <v>206</v>
      </c>
      <c r="BM298" s="137" t="s">
        <v>668</v>
      </c>
    </row>
    <row r="299" spans="2:65" s="12" customFormat="1">
      <c r="B299" s="148"/>
      <c r="D299" s="149" t="s">
        <v>363</v>
      </c>
      <c r="F299" s="150" t="s">
        <v>1160</v>
      </c>
      <c r="H299" s="151">
        <v>145.79400000000001</v>
      </c>
      <c r="L299" s="148"/>
      <c r="M299" s="152"/>
      <c r="T299" s="153"/>
      <c r="AT299" s="154" t="s">
        <v>363</v>
      </c>
      <c r="AU299" s="154" t="s">
        <v>143</v>
      </c>
      <c r="AV299" s="12" t="s">
        <v>143</v>
      </c>
      <c r="AW299" s="12" t="s">
        <v>3</v>
      </c>
      <c r="AX299" s="12" t="s">
        <v>81</v>
      </c>
      <c r="AY299" s="154" t="s">
        <v>141</v>
      </c>
    </row>
    <row r="300" spans="2:65" s="1" customFormat="1" ht="24.2" customHeight="1">
      <c r="B300" s="126"/>
      <c r="C300" s="127" t="s">
        <v>669</v>
      </c>
      <c r="D300" s="127" t="s">
        <v>144</v>
      </c>
      <c r="E300" s="128" t="s">
        <v>657</v>
      </c>
      <c r="F300" s="129" t="s">
        <v>658</v>
      </c>
      <c r="G300" s="130" t="s">
        <v>157</v>
      </c>
      <c r="H300" s="131">
        <v>14.208</v>
      </c>
      <c r="I300" s="132">
        <v>71.400000000000006</v>
      </c>
      <c r="J300" s="132">
        <f>ROUND(I300*H300,2)</f>
        <v>1014.45</v>
      </c>
      <c r="K300" s="129" t="s">
        <v>148</v>
      </c>
      <c r="L300" s="27"/>
      <c r="M300" s="133" t="s">
        <v>1</v>
      </c>
      <c r="N300" s="134" t="s">
        <v>39</v>
      </c>
      <c r="O300" s="135">
        <v>0.17</v>
      </c>
      <c r="P300" s="135">
        <f>O300*H300</f>
        <v>2.4153600000000002</v>
      </c>
      <c r="Q300" s="135">
        <v>0</v>
      </c>
      <c r="R300" s="135">
        <f>Q300*H300</f>
        <v>0</v>
      </c>
      <c r="S300" s="135">
        <v>0</v>
      </c>
      <c r="T300" s="136">
        <f>S300*H300</f>
        <v>0</v>
      </c>
      <c r="AR300" s="137" t="s">
        <v>206</v>
      </c>
      <c r="AT300" s="137" t="s">
        <v>144</v>
      </c>
      <c r="AU300" s="137" t="s">
        <v>143</v>
      </c>
      <c r="AY300" s="15" t="s">
        <v>141</v>
      </c>
      <c r="BE300" s="138">
        <f>IF(N300="základní",J300,0)</f>
        <v>0</v>
      </c>
      <c r="BF300" s="138">
        <f>IF(N300="snížená",J300,0)</f>
        <v>1014.45</v>
      </c>
      <c r="BG300" s="138">
        <f>IF(N300="zákl. přenesená",J300,0)</f>
        <v>0</v>
      </c>
      <c r="BH300" s="138">
        <f>IF(N300="sníž. přenesená",J300,0)</f>
        <v>0</v>
      </c>
      <c r="BI300" s="138">
        <f>IF(N300="nulová",J300,0)</f>
        <v>0</v>
      </c>
      <c r="BJ300" s="15" t="s">
        <v>143</v>
      </c>
      <c r="BK300" s="138">
        <f>ROUND(I300*H300,2)</f>
        <v>1014.45</v>
      </c>
      <c r="BL300" s="15" t="s">
        <v>206</v>
      </c>
      <c r="BM300" s="137" t="s">
        <v>670</v>
      </c>
    </row>
    <row r="301" spans="2:65" s="1" customFormat="1" ht="24.2" customHeight="1">
      <c r="B301" s="126"/>
      <c r="C301" s="139" t="s">
        <v>671</v>
      </c>
      <c r="D301" s="139" t="s">
        <v>207</v>
      </c>
      <c r="E301" s="140" t="s">
        <v>672</v>
      </c>
      <c r="F301" s="141" t="s">
        <v>673</v>
      </c>
      <c r="G301" s="142" t="s">
        <v>157</v>
      </c>
      <c r="H301" s="143">
        <v>14.492000000000001</v>
      </c>
      <c r="I301" s="144">
        <v>529</v>
      </c>
      <c r="J301" s="144">
        <f>ROUND(I301*H301,2)</f>
        <v>7666.27</v>
      </c>
      <c r="K301" s="141" t="s">
        <v>148</v>
      </c>
      <c r="L301" s="145"/>
      <c r="M301" s="146" t="s">
        <v>1</v>
      </c>
      <c r="N301" s="147" t="s">
        <v>39</v>
      </c>
      <c r="O301" s="135">
        <v>0</v>
      </c>
      <c r="P301" s="135">
        <f>O301*H301</f>
        <v>0</v>
      </c>
      <c r="Q301" s="135">
        <v>3.0000000000000001E-3</v>
      </c>
      <c r="R301" s="135">
        <f>Q301*H301</f>
        <v>4.3476000000000001E-2</v>
      </c>
      <c r="S301" s="135">
        <v>0</v>
      </c>
      <c r="T301" s="136">
        <f>S301*H301</f>
        <v>0</v>
      </c>
      <c r="AR301" s="137" t="s">
        <v>274</v>
      </c>
      <c r="AT301" s="137" t="s">
        <v>207</v>
      </c>
      <c r="AU301" s="137" t="s">
        <v>143</v>
      </c>
      <c r="AY301" s="15" t="s">
        <v>141</v>
      </c>
      <c r="BE301" s="138">
        <f>IF(N301="základní",J301,0)</f>
        <v>0</v>
      </c>
      <c r="BF301" s="138">
        <f>IF(N301="snížená",J301,0)</f>
        <v>7666.27</v>
      </c>
      <c r="BG301" s="138">
        <f>IF(N301="zákl. přenesená",J301,0)</f>
        <v>0</v>
      </c>
      <c r="BH301" s="138">
        <f>IF(N301="sníž. přenesená",J301,0)</f>
        <v>0</v>
      </c>
      <c r="BI301" s="138">
        <f>IF(N301="nulová",J301,0)</f>
        <v>0</v>
      </c>
      <c r="BJ301" s="15" t="s">
        <v>143</v>
      </c>
      <c r="BK301" s="138">
        <f>ROUND(I301*H301,2)</f>
        <v>7666.27</v>
      </c>
      <c r="BL301" s="15" t="s">
        <v>206</v>
      </c>
      <c r="BM301" s="137" t="s">
        <v>674</v>
      </c>
    </row>
    <row r="302" spans="2:65" s="12" customFormat="1">
      <c r="B302" s="148"/>
      <c r="D302" s="149" t="s">
        <v>363</v>
      </c>
      <c r="F302" s="150" t="s">
        <v>1161</v>
      </c>
      <c r="H302" s="151">
        <v>14.492000000000001</v>
      </c>
      <c r="L302" s="148"/>
      <c r="M302" s="152"/>
      <c r="T302" s="153"/>
      <c r="AT302" s="154" t="s">
        <v>363</v>
      </c>
      <c r="AU302" s="154" t="s">
        <v>143</v>
      </c>
      <c r="AV302" s="12" t="s">
        <v>143</v>
      </c>
      <c r="AW302" s="12" t="s">
        <v>3</v>
      </c>
      <c r="AX302" s="12" t="s">
        <v>81</v>
      </c>
      <c r="AY302" s="154" t="s">
        <v>141</v>
      </c>
    </row>
    <row r="303" spans="2:65" s="1" customFormat="1" ht="24.2" customHeight="1">
      <c r="B303" s="126"/>
      <c r="C303" s="139" t="s">
        <v>676</v>
      </c>
      <c r="D303" s="139" t="s">
        <v>207</v>
      </c>
      <c r="E303" s="140" t="s">
        <v>677</v>
      </c>
      <c r="F303" s="141" t="s">
        <v>678</v>
      </c>
      <c r="G303" s="142" t="s">
        <v>157</v>
      </c>
      <c r="H303" s="143">
        <v>14.492000000000001</v>
      </c>
      <c r="I303" s="144">
        <v>633</v>
      </c>
      <c r="J303" s="144">
        <f>ROUND(I303*H303,2)</f>
        <v>9173.44</v>
      </c>
      <c r="K303" s="141" t="s">
        <v>148</v>
      </c>
      <c r="L303" s="145"/>
      <c r="M303" s="146" t="s">
        <v>1</v>
      </c>
      <c r="N303" s="147" t="s">
        <v>39</v>
      </c>
      <c r="O303" s="135">
        <v>0</v>
      </c>
      <c r="P303" s="135">
        <f>O303*H303</f>
        <v>0</v>
      </c>
      <c r="Q303" s="135">
        <v>3.5999999999999999E-3</v>
      </c>
      <c r="R303" s="135">
        <f>Q303*H303</f>
        <v>5.2171200000000001E-2</v>
      </c>
      <c r="S303" s="135">
        <v>0</v>
      </c>
      <c r="T303" s="136">
        <f>S303*H303</f>
        <v>0</v>
      </c>
      <c r="AR303" s="137" t="s">
        <v>274</v>
      </c>
      <c r="AT303" s="137" t="s">
        <v>207</v>
      </c>
      <c r="AU303" s="137" t="s">
        <v>143</v>
      </c>
      <c r="AY303" s="15" t="s">
        <v>141</v>
      </c>
      <c r="BE303" s="138">
        <f>IF(N303="základní",J303,0)</f>
        <v>0</v>
      </c>
      <c r="BF303" s="138">
        <f>IF(N303="snížená",J303,0)</f>
        <v>9173.44</v>
      </c>
      <c r="BG303" s="138">
        <f>IF(N303="zákl. přenesená",J303,0)</f>
        <v>0</v>
      </c>
      <c r="BH303" s="138">
        <f>IF(N303="sníž. přenesená",J303,0)</f>
        <v>0</v>
      </c>
      <c r="BI303" s="138">
        <f>IF(N303="nulová",J303,0)</f>
        <v>0</v>
      </c>
      <c r="BJ303" s="15" t="s">
        <v>143</v>
      </c>
      <c r="BK303" s="138">
        <f>ROUND(I303*H303,2)</f>
        <v>9173.44</v>
      </c>
      <c r="BL303" s="15" t="s">
        <v>206</v>
      </c>
      <c r="BM303" s="137" t="s">
        <v>679</v>
      </c>
    </row>
    <row r="304" spans="2:65" s="12" customFormat="1">
      <c r="B304" s="148"/>
      <c r="D304" s="149" t="s">
        <v>363</v>
      </c>
      <c r="F304" s="150" t="s">
        <v>1161</v>
      </c>
      <c r="H304" s="151">
        <v>14.492000000000001</v>
      </c>
      <c r="L304" s="148"/>
      <c r="M304" s="152"/>
      <c r="T304" s="153"/>
      <c r="AT304" s="154" t="s">
        <v>363</v>
      </c>
      <c r="AU304" s="154" t="s">
        <v>143</v>
      </c>
      <c r="AV304" s="12" t="s">
        <v>143</v>
      </c>
      <c r="AW304" s="12" t="s">
        <v>3</v>
      </c>
      <c r="AX304" s="12" t="s">
        <v>81</v>
      </c>
      <c r="AY304" s="154" t="s">
        <v>141</v>
      </c>
    </row>
    <row r="305" spans="2:65" s="1" customFormat="1" ht="24.2" customHeight="1">
      <c r="B305" s="126"/>
      <c r="C305" s="139" t="s">
        <v>680</v>
      </c>
      <c r="D305" s="139" t="s">
        <v>207</v>
      </c>
      <c r="E305" s="140" t="s">
        <v>681</v>
      </c>
      <c r="F305" s="141" t="s">
        <v>682</v>
      </c>
      <c r="G305" s="142" t="s">
        <v>157</v>
      </c>
      <c r="H305" s="143">
        <v>14.492000000000001</v>
      </c>
      <c r="I305" s="144">
        <v>133</v>
      </c>
      <c r="J305" s="144">
        <f>ROUND(I305*H305,2)</f>
        <v>1927.44</v>
      </c>
      <c r="K305" s="141" t="s">
        <v>148</v>
      </c>
      <c r="L305" s="145"/>
      <c r="M305" s="146" t="s">
        <v>1</v>
      </c>
      <c r="N305" s="147" t="s">
        <v>39</v>
      </c>
      <c r="O305" s="135">
        <v>0</v>
      </c>
      <c r="P305" s="135">
        <f>O305*H305</f>
        <v>0</v>
      </c>
      <c r="Q305" s="135">
        <v>1.4E-3</v>
      </c>
      <c r="R305" s="135">
        <f>Q305*H305</f>
        <v>2.0288800000000003E-2</v>
      </c>
      <c r="S305" s="135">
        <v>0</v>
      </c>
      <c r="T305" s="136">
        <f>S305*H305</f>
        <v>0</v>
      </c>
      <c r="AR305" s="137" t="s">
        <v>274</v>
      </c>
      <c r="AT305" s="137" t="s">
        <v>207</v>
      </c>
      <c r="AU305" s="137" t="s">
        <v>143</v>
      </c>
      <c r="AY305" s="15" t="s">
        <v>141</v>
      </c>
      <c r="BE305" s="138">
        <f>IF(N305="základní",J305,0)</f>
        <v>0</v>
      </c>
      <c r="BF305" s="138">
        <f>IF(N305="snížená",J305,0)</f>
        <v>1927.44</v>
      </c>
      <c r="BG305" s="138">
        <f>IF(N305="zákl. přenesená",J305,0)</f>
        <v>0</v>
      </c>
      <c r="BH305" s="138">
        <f>IF(N305="sníž. přenesená",J305,0)</f>
        <v>0</v>
      </c>
      <c r="BI305" s="138">
        <f>IF(N305="nulová",J305,0)</f>
        <v>0</v>
      </c>
      <c r="BJ305" s="15" t="s">
        <v>143</v>
      </c>
      <c r="BK305" s="138">
        <f>ROUND(I305*H305,2)</f>
        <v>1927.44</v>
      </c>
      <c r="BL305" s="15" t="s">
        <v>206</v>
      </c>
      <c r="BM305" s="137" t="s">
        <v>683</v>
      </c>
    </row>
    <row r="306" spans="2:65" s="12" customFormat="1">
      <c r="B306" s="148"/>
      <c r="D306" s="149" t="s">
        <v>363</v>
      </c>
      <c r="F306" s="150" t="s">
        <v>1161</v>
      </c>
      <c r="H306" s="151">
        <v>14.492000000000001</v>
      </c>
      <c r="L306" s="148"/>
      <c r="M306" s="152"/>
      <c r="T306" s="153"/>
      <c r="AT306" s="154" t="s">
        <v>363</v>
      </c>
      <c r="AU306" s="154" t="s">
        <v>143</v>
      </c>
      <c r="AV306" s="12" t="s">
        <v>143</v>
      </c>
      <c r="AW306" s="12" t="s">
        <v>3</v>
      </c>
      <c r="AX306" s="12" t="s">
        <v>81</v>
      </c>
      <c r="AY306" s="154" t="s">
        <v>141</v>
      </c>
    </row>
    <row r="307" spans="2:65" s="1" customFormat="1" ht="24.2" customHeight="1">
      <c r="B307" s="126"/>
      <c r="C307" s="127" t="s">
        <v>684</v>
      </c>
      <c r="D307" s="127" t="s">
        <v>144</v>
      </c>
      <c r="E307" s="128" t="s">
        <v>685</v>
      </c>
      <c r="F307" s="129" t="s">
        <v>686</v>
      </c>
      <c r="G307" s="130" t="s">
        <v>157</v>
      </c>
      <c r="H307" s="131">
        <v>689.47799999999995</v>
      </c>
      <c r="I307" s="132">
        <v>50.4</v>
      </c>
      <c r="J307" s="132">
        <f>ROUND(I307*H307,2)</f>
        <v>34749.69</v>
      </c>
      <c r="K307" s="129" t="s">
        <v>148</v>
      </c>
      <c r="L307" s="27"/>
      <c r="M307" s="133" t="s">
        <v>1</v>
      </c>
      <c r="N307" s="134" t="s">
        <v>39</v>
      </c>
      <c r="O307" s="135">
        <v>0.1</v>
      </c>
      <c r="P307" s="135">
        <f>O307*H307</f>
        <v>68.947800000000001</v>
      </c>
      <c r="Q307" s="135">
        <v>0</v>
      </c>
      <c r="R307" s="135">
        <f>Q307*H307</f>
        <v>0</v>
      </c>
      <c r="S307" s="135">
        <v>0</v>
      </c>
      <c r="T307" s="136">
        <f>S307*H307</f>
        <v>0</v>
      </c>
      <c r="AR307" s="137" t="s">
        <v>206</v>
      </c>
      <c r="AT307" s="137" t="s">
        <v>144</v>
      </c>
      <c r="AU307" s="137" t="s">
        <v>143</v>
      </c>
      <c r="AY307" s="15" t="s">
        <v>141</v>
      </c>
      <c r="BE307" s="138">
        <f>IF(N307="základní",J307,0)</f>
        <v>0</v>
      </c>
      <c r="BF307" s="138">
        <f>IF(N307="snížená",J307,0)</f>
        <v>34749.69</v>
      </c>
      <c r="BG307" s="138">
        <f>IF(N307="zákl. přenesená",J307,0)</f>
        <v>0</v>
      </c>
      <c r="BH307" s="138">
        <f>IF(N307="sníž. přenesená",J307,0)</f>
        <v>0</v>
      </c>
      <c r="BI307" s="138">
        <f>IF(N307="nulová",J307,0)</f>
        <v>0</v>
      </c>
      <c r="BJ307" s="15" t="s">
        <v>143</v>
      </c>
      <c r="BK307" s="138">
        <f>ROUND(I307*H307,2)</f>
        <v>34749.69</v>
      </c>
      <c r="BL307" s="15" t="s">
        <v>206</v>
      </c>
      <c r="BM307" s="137" t="s">
        <v>687</v>
      </c>
    </row>
    <row r="308" spans="2:65" s="1" customFormat="1" ht="24.2" customHeight="1">
      <c r="B308" s="126"/>
      <c r="C308" s="139" t="s">
        <v>688</v>
      </c>
      <c r="D308" s="139" t="s">
        <v>207</v>
      </c>
      <c r="E308" s="140" t="s">
        <v>689</v>
      </c>
      <c r="F308" s="141" t="s">
        <v>690</v>
      </c>
      <c r="G308" s="142" t="s">
        <v>157</v>
      </c>
      <c r="H308" s="143">
        <v>703.26700000000005</v>
      </c>
      <c r="I308" s="144">
        <v>840</v>
      </c>
      <c r="J308" s="144">
        <f>ROUND(I308*H308,2)</f>
        <v>590744.28</v>
      </c>
      <c r="K308" s="141" t="s">
        <v>148</v>
      </c>
      <c r="L308" s="145"/>
      <c r="M308" s="146" t="s">
        <v>1</v>
      </c>
      <c r="N308" s="147" t="s">
        <v>39</v>
      </c>
      <c r="O308" s="135">
        <v>0</v>
      </c>
      <c r="P308" s="135">
        <f>O308*H308</f>
        <v>0</v>
      </c>
      <c r="Q308" s="135">
        <v>4.7999999999999996E-3</v>
      </c>
      <c r="R308" s="135">
        <f>Q308*H308</f>
        <v>3.3756816000000001</v>
      </c>
      <c r="S308" s="135">
        <v>0</v>
      </c>
      <c r="T308" s="136">
        <f>S308*H308</f>
        <v>0</v>
      </c>
      <c r="AR308" s="137" t="s">
        <v>274</v>
      </c>
      <c r="AT308" s="137" t="s">
        <v>207</v>
      </c>
      <c r="AU308" s="137" t="s">
        <v>143</v>
      </c>
      <c r="AY308" s="15" t="s">
        <v>141</v>
      </c>
      <c r="BE308" s="138">
        <f>IF(N308="základní",J308,0)</f>
        <v>0</v>
      </c>
      <c r="BF308" s="138">
        <f>IF(N308="snížená",J308,0)</f>
        <v>590744.28</v>
      </c>
      <c r="BG308" s="138">
        <f>IF(N308="zákl. přenesená",J308,0)</f>
        <v>0</v>
      </c>
      <c r="BH308" s="138">
        <f>IF(N308="sníž. přenesená",J308,0)</f>
        <v>0</v>
      </c>
      <c r="BI308" s="138">
        <f>IF(N308="nulová",J308,0)</f>
        <v>0</v>
      </c>
      <c r="BJ308" s="15" t="s">
        <v>143</v>
      </c>
      <c r="BK308" s="138">
        <f>ROUND(I308*H308,2)</f>
        <v>590744.28</v>
      </c>
      <c r="BL308" s="15" t="s">
        <v>206</v>
      </c>
      <c r="BM308" s="137" t="s">
        <v>691</v>
      </c>
    </row>
    <row r="309" spans="2:65" s="12" customFormat="1">
      <c r="B309" s="148"/>
      <c r="D309" s="149" t="s">
        <v>363</v>
      </c>
      <c r="F309" s="150" t="s">
        <v>1162</v>
      </c>
      <c r="H309" s="151">
        <v>703.26700000000005</v>
      </c>
      <c r="L309" s="148"/>
      <c r="M309" s="152"/>
      <c r="T309" s="153"/>
      <c r="AT309" s="154" t="s">
        <v>363</v>
      </c>
      <c r="AU309" s="154" t="s">
        <v>143</v>
      </c>
      <c r="AV309" s="12" t="s">
        <v>143</v>
      </c>
      <c r="AW309" s="12" t="s">
        <v>3</v>
      </c>
      <c r="AX309" s="12" t="s">
        <v>81</v>
      </c>
      <c r="AY309" s="154" t="s">
        <v>141</v>
      </c>
    </row>
    <row r="310" spans="2:65" s="1" customFormat="1" ht="24.2" customHeight="1">
      <c r="B310" s="126"/>
      <c r="C310" s="127" t="s">
        <v>693</v>
      </c>
      <c r="D310" s="127" t="s">
        <v>144</v>
      </c>
      <c r="E310" s="128" t="s">
        <v>694</v>
      </c>
      <c r="F310" s="129" t="s">
        <v>695</v>
      </c>
      <c r="G310" s="130" t="s">
        <v>157</v>
      </c>
      <c r="H310" s="131">
        <v>689.47799999999995</v>
      </c>
      <c r="I310" s="132">
        <v>45.4</v>
      </c>
      <c r="J310" s="132">
        <f>ROUND(I310*H310,2)</f>
        <v>31302.3</v>
      </c>
      <c r="K310" s="129" t="s">
        <v>148</v>
      </c>
      <c r="L310" s="27"/>
      <c r="M310" s="133" t="s">
        <v>1</v>
      </c>
      <c r="N310" s="134" t="s">
        <v>39</v>
      </c>
      <c r="O310" s="135">
        <v>0.09</v>
      </c>
      <c r="P310" s="135">
        <f>O310*H310</f>
        <v>62.053019999999997</v>
      </c>
      <c r="Q310" s="135">
        <v>0</v>
      </c>
      <c r="R310" s="135">
        <f>Q310*H310</f>
        <v>0</v>
      </c>
      <c r="S310" s="135">
        <v>0</v>
      </c>
      <c r="T310" s="136">
        <f>S310*H310</f>
        <v>0</v>
      </c>
      <c r="AR310" s="137" t="s">
        <v>206</v>
      </c>
      <c r="AT310" s="137" t="s">
        <v>144</v>
      </c>
      <c r="AU310" s="137" t="s">
        <v>143</v>
      </c>
      <c r="AY310" s="15" t="s">
        <v>141</v>
      </c>
      <c r="BE310" s="138">
        <f>IF(N310="základní",J310,0)</f>
        <v>0</v>
      </c>
      <c r="BF310" s="138">
        <f>IF(N310="snížená",J310,0)</f>
        <v>31302.3</v>
      </c>
      <c r="BG310" s="138">
        <f>IF(N310="zákl. přenesená",J310,0)</f>
        <v>0</v>
      </c>
      <c r="BH310" s="138">
        <f>IF(N310="sníž. přenesená",J310,0)</f>
        <v>0</v>
      </c>
      <c r="BI310" s="138">
        <f>IF(N310="nulová",J310,0)</f>
        <v>0</v>
      </c>
      <c r="BJ310" s="15" t="s">
        <v>143</v>
      </c>
      <c r="BK310" s="138">
        <f>ROUND(I310*H310,2)</f>
        <v>31302.3</v>
      </c>
      <c r="BL310" s="15" t="s">
        <v>206</v>
      </c>
      <c r="BM310" s="137" t="s">
        <v>696</v>
      </c>
    </row>
    <row r="311" spans="2:65" s="1" customFormat="1" ht="44.25" customHeight="1">
      <c r="B311" s="126"/>
      <c r="C311" s="139" t="s">
        <v>697</v>
      </c>
      <c r="D311" s="139" t="s">
        <v>207</v>
      </c>
      <c r="E311" s="140" t="s">
        <v>698</v>
      </c>
      <c r="F311" s="141" t="s">
        <v>699</v>
      </c>
      <c r="G311" s="142" t="s">
        <v>157</v>
      </c>
      <c r="H311" s="143">
        <v>703.26700000000005</v>
      </c>
      <c r="I311" s="144">
        <v>281.44</v>
      </c>
      <c r="J311" s="144">
        <f>ROUND(I311*H311,2)</f>
        <v>197927.46</v>
      </c>
      <c r="K311" s="141" t="s">
        <v>1</v>
      </c>
      <c r="L311" s="145"/>
      <c r="M311" s="146" t="s">
        <v>1</v>
      </c>
      <c r="N311" s="147" t="s">
        <v>39</v>
      </c>
      <c r="O311" s="135">
        <v>0</v>
      </c>
      <c r="P311" s="135">
        <f>O311*H311</f>
        <v>0</v>
      </c>
      <c r="Q311" s="135">
        <v>5.0000000000000001E-3</v>
      </c>
      <c r="R311" s="135">
        <f>Q311*H311</f>
        <v>3.5163350000000002</v>
      </c>
      <c r="S311" s="135">
        <v>0</v>
      </c>
      <c r="T311" s="136">
        <f>S311*H311</f>
        <v>0</v>
      </c>
      <c r="AR311" s="137" t="s">
        <v>274</v>
      </c>
      <c r="AT311" s="137" t="s">
        <v>207</v>
      </c>
      <c r="AU311" s="137" t="s">
        <v>143</v>
      </c>
      <c r="AY311" s="15" t="s">
        <v>141</v>
      </c>
      <c r="BE311" s="138">
        <f>IF(N311="základní",J311,0)</f>
        <v>0</v>
      </c>
      <c r="BF311" s="138">
        <f>IF(N311="snížená",J311,0)</f>
        <v>197927.46</v>
      </c>
      <c r="BG311" s="138">
        <f>IF(N311="zákl. přenesená",J311,0)</f>
        <v>0</v>
      </c>
      <c r="BH311" s="138">
        <f>IF(N311="sníž. přenesená",J311,0)</f>
        <v>0</v>
      </c>
      <c r="BI311" s="138">
        <f>IF(N311="nulová",J311,0)</f>
        <v>0</v>
      </c>
      <c r="BJ311" s="15" t="s">
        <v>143</v>
      </c>
      <c r="BK311" s="138">
        <f>ROUND(I311*H311,2)</f>
        <v>197927.46</v>
      </c>
      <c r="BL311" s="15" t="s">
        <v>206</v>
      </c>
      <c r="BM311" s="137" t="s">
        <v>700</v>
      </c>
    </row>
    <row r="312" spans="2:65" s="12" customFormat="1">
      <c r="B312" s="148"/>
      <c r="D312" s="149" t="s">
        <v>363</v>
      </c>
      <c r="F312" s="150" t="s">
        <v>1162</v>
      </c>
      <c r="H312" s="151">
        <v>703.26700000000005</v>
      </c>
      <c r="L312" s="148"/>
      <c r="M312" s="152"/>
      <c r="T312" s="153"/>
      <c r="AT312" s="154" t="s">
        <v>363</v>
      </c>
      <c r="AU312" s="154" t="s">
        <v>143</v>
      </c>
      <c r="AV312" s="12" t="s">
        <v>143</v>
      </c>
      <c r="AW312" s="12" t="s">
        <v>3</v>
      </c>
      <c r="AX312" s="12" t="s">
        <v>81</v>
      </c>
      <c r="AY312" s="154" t="s">
        <v>141</v>
      </c>
    </row>
    <row r="313" spans="2:65" s="1" customFormat="1" ht="24.2" customHeight="1">
      <c r="B313" s="126"/>
      <c r="C313" s="127" t="s">
        <v>701</v>
      </c>
      <c r="D313" s="127" t="s">
        <v>144</v>
      </c>
      <c r="E313" s="128" t="s">
        <v>702</v>
      </c>
      <c r="F313" s="129" t="s">
        <v>703</v>
      </c>
      <c r="G313" s="130" t="s">
        <v>565</v>
      </c>
      <c r="H313" s="131">
        <v>11768.271000000001</v>
      </c>
      <c r="I313" s="132">
        <v>1.95</v>
      </c>
      <c r="J313" s="132">
        <f>ROUND(I313*H313,2)</f>
        <v>22948.13</v>
      </c>
      <c r="K313" s="129" t="s">
        <v>148</v>
      </c>
      <c r="L313" s="27"/>
      <c r="M313" s="133" t="s">
        <v>1</v>
      </c>
      <c r="N313" s="134" t="s">
        <v>39</v>
      </c>
      <c r="O313" s="135">
        <v>0</v>
      </c>
      <c r="P313" s="135">
        <f>O313*H313</f>
        <v>0</v>
      </c>
      <c r="Q313" s="135">
        <v>0</v>
      </c>
      <c r="R313" s="135">
        <f>Q313*H313</f>
        <v>0</v>
      </c>
      <c r="S313" s="135">
        <v>0</v>
      </c>
      <c r="T313" s="136">
        <f>S313*H313</f>
        <v>0</v>
      </c>
      <c r="AR313" s="137" t="s">
        <v>206</v>
      </c>
      <c r="AT313" s="137" t="s">
        <v>144</v>
      </c>
      <c r="AU313" s="137" t="s">
        <v>143</v>
      </c>
      <c r="AY313" s="15" t="s">
        <v>141</v>
      </c>
      <c r="BE313" s="138">
        <f>IF(N313="základní",J313,0)</f>
        <v>0</v>
      </c>
      <c r="BF313" s="138">
        <f>IF(N313="snížená",J313,0)</f>
        <v>22948.13</v>
      </c>
      <c r="BG313" s="138">
        <f>IF(N313="zákl. přenesená",J313,0)</f>
        <v>0</v>
      </c>
      <c r="BH313" s="138">
        <f>IF(N313="sníž. přenesená",J313,0)</f>
        <v>0</v>
      </c>
      <c r="BI313" s="138">
        <f>IF(N313="nulová",J313,0)</f>
        <v>0</v>
      </c>
      <c r="BJ313" s="15" t="s">
        <v>143</v>
      </c>
      <c r="BK313" s="138">
        <f>ROUND(I313*H313,2)</f>
        <v>22948.13</v>
      </c>
      <c r="BL313" s="15" t="s">
        <v>206</v>
      </c>
      <c r="BM313" s="137" t="s">
        <v>704</v>
      </c>
    </row>
    <row r="314" spans="2:65" s="11" customFormat="1" ht="22.9" customHeight="1">
      <c r="B314" s="115"/>
      <c r="D314" s="116" t="s">
        <v>72</v>
      </c>
      <c r="E314" s="124" t="s">
        <v>705</v>
      </c>
      <c r="F314" s="124" t="s">
        <v>706</v>
      </c>
      <c r="J314" s="125">
        <f>BK314</f>
        <v>1777566.48</v>
      </c>
      <c r="L314" s="115"/>
      <c r="M314" s="119"/>
      <c r="P314" s="120">
        <f>SUM(P315:P321)</f>
        <v>0</v>
      </c>
      <c r="R314" s="120">
        <f>SUM(R315:R321)</f>
        <v>0</v>
      </c>
      <c r="T314" s="121">
        <f>SUM(T315:T321)</f>
        <v>0</v>
      </c>
      <c r="AR314" s="116" t="s">
        <v>143</v>
      </c>
      <c r="AT314" s="122" t="s">
        <v>72</v>
      </c>
      <c r="AU314" s="122" t="s">
        <v>81</v>
      </c>
      <c r="AY314" s="116" t="s">
        <v>141</v>
      </c>
      <c r="BK314" s="123">
        <f>SUM(BK315:BK321)</f>
        <v>1777566.48</v>
      </c>
    </row>
    <row r="315" spans="2:65" s="1" customFormat="1" ht="24.2" customHeight="1">
      <c r="B315" s="126"/>
      <c r="C315" s="127" t="s">
        <v>707</v>
      </c>
      <c r="D315" s="127" t="s">
        <v>144</v>
      </c>
      <c r="E315" s="128" t="s">
        <v>708</v>
      </c>
      <c r="F315" s="129" t="s">
        <v>709</v>
      </c>
      <c r="G315" s="130" t="s">
        <v>429</v>
      </c>
      <c r="H315" s="131">
        <v>0</v>
      </c>
      <c r="I315" s="132">
        <v>0</v>
      </c>
      <c r="J315" s="132">
        <f t="shared" ref="J315:J321" si="60">ROUND(I315*H315,2)</f>
        <v>0</v>
      </c>
      <c r="K315" s="129" t="s">
        <v>1</v>
      </c>
      <c r="L315" s="27"/>
      <c r="M315" s="133" t="s">
        <v>1</v>
      </c>
      <c r="N315" s="134" t="s">
        <v>39</v>
      </c>
      <c r="O315" s="135">
        <v>0</v>
      </c>
      <c r="P315" s="135">
        <f t="shared" ref="P315:P321" si="61">O315*H315</f>
        <v>0</v>
      </c>
      <c r="Q315" s="135">
        <v>0</v>
      </c>
      <c r="R315" s="135">
        <f t="shared" ref="R315:R321" si="62">Q315*H315</f>
        <v>0</v>
      </c>
      <c r="S315" s="135">
        <v>0</v>
      </c>
      <c r="T315" s="136">
        <f t="shared" ref="T315:T321" si="63">S315*H315</f>
        <v>0</v>
      </c>
      <c r="AR315" s="137" t="s">
        <v>206</v>
      </c>
      <c r="AT315" s="137" t="s">
        <v>144</v>
      </c>
      <c r="AU315" s="137" t="s">
        <v>143</v>
      </c>
      <c r="AY315" s="15" t="s">
        <v>141</v>
      </c>
      <c r="BE315" s="138">
        <f t="shared" ref="BE315:BE321" si="64">IF(N315="základní",J315,0)</f>
        <v>0</v>
      </c>
      <c r="BF315" s="138">
        <f t="shared" ref="BF315:BF321" si="65">IF(N315="snížená",J315,0)</f>
        <v>0</v>
      </c>
      <c r="BG315" s="138">
        <f t="shared" ref="BG315:BG321" si="66">IF(N315="zákl. přenesená",J315,0)</f>
        <v>0</v>
      </c>
      <c r="BH315" s="138">
        <f t="shared" ref="BH315:BH321" si="67">IF(N315="sníž. přenesená",J315,0)</f>
        <v>0</v>
      </c>
      <c r="BI315" s="138">
        <f t="shared" ref="BI315:BI321" si="68">IF(N315="nulová",J315,0)</f>
        <v>0</v>
      </c>
      <c r="BJ315" s="15" t="s">
        <v>143</v>
      </c>
      <c r="BK315" s="138">
        <f t="shared" ref="BK315:BK321" si="69">ROUND(I315*H315,2)</f>
        <v>0</v>
      </c>
      <c r="BL315" s="15" t="s">
        <v>206</v>
      </c>
      <c r="BM315" s="137" t="s">
        <v>710</v>
      </c>
    </row>
    <row r="316" spans="2:65" s="1" customFormat="1" ht="24.2" customHeight="1">
      <c r="B316" s="126"/>
      <c r="C316" s="127" t="s">
        <v>711</v>
      </c>
      <c r="D316" s="127" t="s">
        <v>144</v>
      </c>
      <c r="E316" s="128" t="s">
        <v>712</v>
      </c>
      <c r="F316" s="129" t="s">
        <v>1163</v>
      </c>
      <c r="G316" s="130" t="s">
        <v>429</v>
      </c>
      <c r="H316" s="131">
        <v>1</v>
      </c>
      <c r="I316" s="132">
        <v>1777566.48</v>
      </c>
      <c r="J316" s="132">
        <f t="shared" si="60"/>
        <v>1777566.48</v>
      </c>
      <c r="K316" s="129" t="s">
        <v>1</v>
      </c>
      <c r="L316" s="27"/>
      <c r="M316" s="133" t="s">
        <v>1</v>
      </c>
      <c r="N316" s="134" t="s">
        <v>39</v>
      </c>
      <c r="O316" s="135">
        <v>0</v>
      </c>
      <c r="P316" s="135">
        <f t="shared" si="61"/>
        <v>0</v>
      </c>
      <c r="Q316" s="135">
        <v>0</v>
      </c>
      <c r="R316" s="135">
        <f t="shared" si="62"/>
        <v>0</v>
      </c>
      <c r="S316" s="135">
        <v>0</v>
      </c>
      <c r="T316" s="136">
        <f t="shared" si="63"/>
        <v>0</v>
      </c>
      <c r="AR316" s="137" t="s">
        <v>206</v>
      </c>
      <c r="AT316" s="137" t="s">
        <v>144</v>
      </c>
      <c r="AU316" s="137" t="s">
        <v>143</v>
      </c>
      <c r="AY316" s="15" t="s">
        <v>141</v>
      </c>
      <c r="BE316" s="138">
        <f t="shared" si="64"/>
        <v>0</v>
      </c>
      <c r="BF316" s="138">
        <f t="shared" si="65"/>
        <v>1777566.48</v>
      </c>
      <c r="BG316" s="138">
        <f t="shared" si="66"/>
        <v>0</v>
      </c>
      <c r="BH316" s="138">
        <f t="shared" si="67"/>
        <v>0</v>
      </c>
      <c r="BI316" s="138">
        <f t="shared" si="68"/>
        <v>0</v>
      </c>
      <c r="BJ316" s="15" t="s">
        <v>143</v>
      </c>
      <c r="BK316" s="138">
        <f t="shared" si="69"/>
        <v>1777566.48</v>
      </c>
      <c r="BL316" s="15" t="s">
        <v>206</v>
      </c>
      <c r="BM316" s="137" t="s">
        <v>714</v>
      </c>
    </row>
    <row r="317" spans="2:65" s="1" customFormat="1" ht="16.5" customHeight="1">
      <c r="B317" s="126"/>
      <c r="C317" s="127" t="s">
        <v>715</v>
      </c>
      <c r="D317" s="127" t="s">
        <v>144</v>
      </c>
      <c r="E317" s="128" t="s">
        <v>716</v>
      </c>
      <c r="F317" s="129" t="s">
        <v>717</v>
      </c>
      <c r="G317" s="130" t="s">
        <v>429</v>
      </c>
      <c r="H317" s="131">
        <v>0</v>
      </c>
      <c r="I317" s="132">
        <v>0</v>
      </c>
      <c r="J317" s="132">
        <f t="shared" si="60"/>
        <v>0</v>
      </c>
      <c r="K317" s="129" t="s">
        <v>1</v>
      </c>
      <c r="L317" s="27"/>
      <c r="M317" s="133" t="s">
        <v>1</v>
      </c>
      <c r="N317" s="134" t="s">
        <v>39</v>
      </c>
      <c r="O317" s="135">
        <v>0</v>
      </c>
      <c r="P317" s="135">
        <f t="shared" si="61"/>
        <v>0</v>
      </c>
      <c r="Q317" s="135">
        <v>0</v>
      </c>
      <c r="R317" s="135">
        <f t="shared" si="62"/>
        <v>0</v>
      </c>
      <c r="S317" s="135">
        <v>0</v>
      </c>
      <c r="T317" s="136">
        <f t="shared" si="63"/>
        <v>0</v>
      </c>
      <c r="AR317" s="137" t="s">
        <v>206</v>
      </c>
      <c r="AT317" s="137" t="s">
        <v>144</v>
      </c>
      <c r="AU317" s="137" t="s">
        <v>143</v>
      </c>
      <c r="AY317" s="15" t="s">
        <v>141</v>
      </c>
      <c r="BE317" s="138">
        <f t="shared" si="64"/>
        <v>0</v>
      </c>
      <c r="BF317" s="138">
        <f t="shared" si="65"/>
        <v>0</v>
      </c>
      <c r="BG317" s="138">
        <f t="shared" si="66"/>
        <v>0</v>
      </c>
      <c r="BH317" s="138">
        <f t="shared" si="67"/>
        <v>0</v>
      </c>
      <c r="BI317" s="138">
        <f t="shared" si="68"/>
        <v>0</v>
      </c>
      <c r="BJ317" s="15" t="s">
        <v>143</v>
      </c>
      <c r="BK317" s="138">
        <f t="shared" si="69"/>
        <v>0</v>
      </c>
      <c r="BL317" s="15" t="s">
        <v>206</v>
      </c>
      <c r="BM317" s="137" t="s">
        <v>718</v>
      </c>
    </row>
    <row r="318" spans="2:65" s="1" customFormat="1" ht="21.75" customHeight="1">
      <c r="B318" s="126"/>
      <c r="C318" s="127" t="s">
        <v>719</v>
      </c>
      <c r="D318" s="127" t="s">
        <v>144</v>
      </c>
      <c r="E318" s="128" t="s">
        <v>720</v>
      </c>
      <c r="F318" s="129" t="s">
        <v>721</v>
      </c>
      <c r="G318" s="130" t="s">
        <v>429</v>
      </c>
      <c r="H318" s="131">
        <v>0</v>
      </c>
      <c r="I318" s="132">
        <v>0</v>
      </c>
      <c r="J318" s="132">
        <f t="shared" si="60"/>
        <v>0</v>
      </c>
      <c r="K318" s="129" t="s">
        <v>1</v>
      </c>
      <c r="L318" s="27"/>
      <c r="M318" s="133" t="s">
        <v>1</v>
      </c>
      <c r="N318" s="134" t="s">
        <v>39</v>
      </c>
      <c r="O318" s="135">
        <v>0</v>
      </c>
      <c r="P318" s="135">
        <f t="shared" si="61"/>
        <v>0</v>
      </c>
      <c r="Q318" s="135">
        <v>0</v>
      </c>
      <c r="R318" s="135">
        <f t="shared" si="62"/>
        <v>0</v>
      </c>
      <c r="S318" s="135">
        <v>0</v>
      </c>
      <c r="T318" s="136">
        <f t="shared" si="63"/>
        <v>0</v>
      </c>
      <c r="AR318" s="137" t="s">
        <v>206</v>
      </c>
      <c r="AT318" s="137" t="s">
        <v>144</v>
      </c>
      <c r="AU318" s="137" t="s">
        <v>143</v>
      </c>
      <c r="AY318" s="15" t="s">
        <v>141</v>
      </c>
      <c r="BE318" s="138">
        <f t="shared" si="64"/>
        <v>0</v>
      </c>
      <c r="BF318" s="138">
        <f t="shared" si="65"/>
        <v>0</v>
      </c>
      <c r="BG318" s="138">
        <f t="shared" si="66"/>
        <v>0</v>
      </c>
      <c r="BH318" s="138">
        <f t="shared" si="67"/>
        <v>0</v>
      </c>
      <c r="BI318" s="138">
        <f t="shared" si="68"/>
        <v>0</v>
      </c>
      <c r="BJ318" s="15" t="s">
        <v>143</v>
      </c>
      <c r="BK318" s="138">
        <f t="shared" si="69"/>
        <v>0</v>
      </c>
      <c r="BL318" s="15" t="s">
        <v>206</v>
      </c>
      <c r="BM318" s="137" t="s">
        <v>722</v>
      </c>
    </row>
    <row r="319" spans="2:65" s="1" customFormat="1" ht="21.75" customHeight="1">
      <c r="B319" s="126"/>
      <c r="C319" s="127" t="s">
        <v>723</v>
      </c>
      <c r="D319" s="127" t="s">
        <v>144</v>
      </c>
      <c r="E319" s="128" t="s">
        <v>724</v>
      </c>
      <c r="F319" s="129" t="s">
        <v>1164</v>
      </c>
      <c r="G319" s="130" t="s">
        <v>429</v>
      </c>
      <c r="H319" s="131">
        <v>0</v>
      </c>
      <c r="I319" s="132">
        <v>0</v>
      </c>
      <c r="J319" s="132">
        <f t="shared" si="60"/>
        <v>0</v>
      </c>
      <c r="K319" s="129" t="s">
        <v>1</v>
      </c>
      <c r="L319" s="27"/>
      <c r="M319" s="133" t="s">
        <v>1</v>
      </c>
      <c r="N319" s="134" t="s">
        <v>39</v>
      </c>
      <c r="O319" s="135">
        <v>0</v>
      </c>
      <c r="P319" s="135">
        <f t="shared" si="61"/>
        <v>0</v>
      </c>
      <c r="Q319" s="135">
        <v>0</v>
      </c>
      <c r="R319" s="135">
        <f t="shared" si="62"/>
        <v>0</v>
      </c>
      <c r="S319" s="135">
        <v>0</v>
      </c>
      <c r="T319" s="136">
        <f t="shared" si="63"/>
        <v>0</v>
      </c>
      <c r="AR319" s="137" t="s">
        <v>206</v>
      </c>
      <c r="AT319" s="137" t="s">
        <v>144</v>
      </c>
      <c r="AU319" s="137" t="s">
        <v>143</v>
      </c>
      <c r="AY319" s="15" t="s">
        <v>141</v>
      </c>
      <c r="BE319" s="138">
        <f t="shared" si="64"/>
        <v>0</v>
      </c>
      <c r="BF319" s="138">
        <f t="shared" si="65"/>
        <v>0</v>
      </c>
      <c r="BG319" s="138">
        <f t="shared" si="66"/>
        <v>0</v>
      </c>
      <c r="BH319" s="138">
        <f t="shared" si="67"/>
        <v>0</v>
      </c>
      <c r="BI319" s="138">
        <f t="shared" si="68"/>
        <v>0</v>
      </c>
      <c r="BJ319" s="15" t="s">
        <v>143</v>
      </c>
      <c r="BK319" s="138">
        <f t="shared" si="69"/>
        <v>0</v>
      </c>
      <c r="BL319" s="15" t="s">
        <v>206</v>
      </c>
      <c r="BM319" s="137" t="s">
        <v>726</v>
      </c>
    </row>
    <row r="320" spans="2:65" s="1" customFormat="1" ht="16.5" customHeight="1">
      <c r="B320" s="126"/>
      <c r="C320" s="127" t="s">
        <v>727</v>
      </c>
      <c r="D320" s="127" t="s">
        <v>144</v>
      </c>
      <c r="E320" s="128" t="s">
        <v>728</v>
      </c>
      <c r="F320" s="129" t="s">
        <v>729</v>
      </c>
      <c r="G320" s="130" t="s">
        <v>429</v>
      </c>
      <c r="H320" s="131">
        <v>0</v>
      </c>
      <c r="I320" s="132">
        <v>0</v>
      </c>
      <c r="J320" s="132">
        <f t="shared" si="60"/>
        <v>0</v>
      </c>
      <c r="K320" s="129" t="s">
        <v>1</v>
      </c>
      <c r="L320" s="27"/>
      <c r="M320" s="133" t="s">
        <v>1</v>
      </c>
      <c r="N320" s="134" t="s">
        <v>39</v>
      </c>
      <c r="O320" s="135">
        <v>0</v>
      </c>
      <c r="P320" s="135">
        <f t="shared" si="61"/>
        <v>0</v>
      </c>
      <c r="Q320" s="135">
        <v>0</v>
      </c>
      <c r="R320" s="135">
        <f t="shared" si="62"/>
        <v>0</v>
      </c>
      <c r="S320" s="135">
        <v>0</v>
      </c>
      <c r="T320" s="136">
        <f t="shared" si="63"/>
        <v>0</v>
      </c>
      <c r="AR320" s="137" t="s">
        <v>206</v>
      </c>
      <c r="AT320" s="137" t="s">
        <v>144</v>
      </c>
      <c r="AU320" s="137" t="s">
        <v>143</v>
      </c>
      <c r="AY320" s="15" t="s">
        <v>141</v>
      </c>
      <c r="BE320" s="138">
        <f t="shared" si="64"/>
        <v>0</v>
      </c>
      <c r="BF320" s="138">
        <f t="shared" si="65"/>
        <v>0</v>
      </c>
      <c r="BG320" s="138">
        <f t="shared" si="66"/>
        <v>0</v>
      </c>
      <c r="BH320" s="138">
        <f t="shared" si="67"/>
        <v>0</v>
      </c>
      <c r="BI320" s="138">
        <f t="shared" si="68"/>
        <v>0</v>
      </c>
      <c r="BJ320" s="15" t="s">
        <v>143</v>
      </c>
      <c r="BK320" s="138">
        <f t="shared" si="69"/>
        <v>0</v>
      </c>
      <c r="BL320" s="15" t="s">
        <v>206</v>
      </c>
      <c r="BM320" s="137" t="s">
        <v>730</v>
      </c>
    </row>
    <row r="321" spans="2:65" s="1" customFormat="1" ht="16.5" customHeight="1">
      <c r="B321" s="126"/>
      <c r="C321" s="127" t="s">
        <v>731</v>
      </c>
      <c r="D321" s="127" t="s">
        <v>144</v>
      </c>
      <c r="E321" s="128" t="s">
        <v>732</v>
      </c>
      <c r="F321" s="129" t="s">
        <v>733</v>
      </c>
      <c r="G321" s="130" t="s">
        <v>429</v>
      </c>
      <c r="H321" s="131">
        <v>0</v>
      </c>
      <c r="I321" s="132">
        <v>0</v>
      </c>
      <c r="J321" s="132">
        <f t="shared" si="60"/>
        <v>0</v>
      </c>
      <c r="K321" s="129" t="s">
        <v>1</v>
      </c>
      <c r="L321" s="27"/>
      <c r="M321" s="133" t="s">
        <v>1</v>
      </c>
      <c r="N321" s="134" t="s">
        <v>39</v>
      </c>
      <c r="O321" s="135">
        <v>0</v>
      </c>
      <c r="P321" s="135">
        <f t="shared" si="61"/>
        <v>0</v>
      </c>
      <c r="Q321" s="135">
        <v>0</v>
      </c>
      <c r="R321" s="135">
        <f t="shared" si="62"/>
        <v>0</v>
      </c>
      <c r="S321" s="135">
        <v>0</v>
      </c>
      <c r="T321" s="136">
        <f t="shared" si="63"/>
        <v>0</v>
      </c>
      <c r="AR321" s="137" t="s">
        <v>206</v>
      </c>
      <c r="AT321" s="137" t="s">
        <v>144</v>
      </c>
      <c r="AU321" s="137" t="s">
        <v>143</v>
      </c>
      <c r="AY321" s="15" t="s">
        <v>141</v>
      </c>
      <c r="BE321" s="138">
        <f t="shared" si="64"/>
        <v>0</v>
      </c>
      <c r="BF321" s="138">
        <f t="shared" si="65"/>
        <v>0</v>
      </c>
      <c r="BG321" s="138">
        <f t="shared" si="66"/>
        <v>0</v>
      </c>
      <c r="BH321" s="138">
        <f t="shared" si="67"/>
        <v>0</v>
      </c>
      <c r="BI321" s="138">
        <f t="shared" si="68"/>
        <v>0</v>
      </c>
      <c r="BJ321" s="15" t="s">
        <v>143</v>
      </c>
      <c r="BK321" s="138">
        <f t="shared" si="69"/>
        <v>0</v>
      </c>
      <c r="BL321" s="15" t="s">
        <v>206</v>
      </c>
      <c r="BM321" s="137" t="s">
        <v>734</v>
      </c>
    </row>
    <row r="322" spans="2:65" s="11" customFormat="1" ht="22.9" customHeight="1">
      <c r="B322" s="115"/>
      <c r="D322" s="116" t="s">
        <v>72</v>
      </c>
      <c r="E322" s="124" t="s">
        <v>735</v>
      </c>
      <c r="F322" s="124" t="s">
        <v>736</v>
      </c>
      <c r="J322" s="125">
        <f>BK322</f>
        <v>2614978.13</v>
      </c>
      <c r="L322" s="115"/>
      <c r="M322" s="119"/>
      <c r="P322" s="120">
        <f>SUM(P323:P324)</f>
        <v>0</v>
      </c>
      <c r="R322" s="120">
        <f>SUM(R323:R324)</f>
        <v>0</v>
      </c>
      <c r="T322" s="121">
        <f>SUM(T323:T324)</f>
        <v>0</v>
      </c>
      <c r="AR322" s="116" t="s">
        <v>143</v>
      </c>
      <c r="AT322" s="122" t="s">
        <v>72</v>
      </c>
      <c r="AU322" s="122" t="s">
        <v>81</v>
      </c>
      <c r="AY322" s="116" t="s">
        <v>141</v>
      </c>
      <c r="BK322" s="123">
        <f>SUM(BK323:BK324)</f>
        <v>2614978.13</v>
      </c>
    </row>
    <row r="323" spans="2:65" s="1" customFormat="1" ht="16.5" customHeight="1">
      <c r="B323" s="126"/>
      <c r="C323" s="127" t="s">
        <v>737</v>
      </c>
      <c r="D323" s="127" t="s">
        <v>144</v>
      </c>
      <c r="E323" s="128" t="s">
        <v>738</v>
      </c>
      <c r="F323" s="129" t="s">
        <v>739</v>
      </c>
      <c r="G323" s="130" t="s">
        <v>429</v>
      </c>
      <c r="H323" s="131">
        <v>1</v>
      </c>
      <c r="I323" s="132">
        <v>2614978.13</v>
      </c>
      <c r="J323" s="132">
        <f>ROUND(I323*H323,2)</f>
        <v>2614978.13</v>
      </c>
      <c r="K323" s="129" t="s">
        <v>1</v>
      </c>
      <c r="L323" s="27"/>
      <c r="M323" s="133" t="s">
        <v>1</v>
      </c>
      <c r="N323" s="134" t="s">
        <v>39</v>
      </c>
      <c r="O323" s="135">
        <v>0</v>
      </c>
      <c r="P323" s="135">
        <f>O323*H323</f>
        <v>0</v>
      </c>
      <c r="Q323" s="135">
        <v>0</v>
      </c>
      <c r="R323" s="135">
        <f>Q323*H323</f>
        <v>0</v>
      </c>
      <c r="S323" s="135">
        <v>0</v>
      </c>
      <c r="T323" s="136">
        <f>S323*H323</f>
        <v>0</v>
      </c>
      <c r="AR323" s="137" t="s">
        <v>206</v>
      </c>
      <c r="AT323" s="137" t="s">
        <v>144</v>
      </c>
      <c r="AU323" s="137" t="s">
        <v>143</v>
      </c>
      <c r="AY323" s="15" t="s">
        <v>141</v>
      </c>
      <c r="BE323" s="138">
        <f>IF(N323="základní",J323,0)</f>
        <v>0</v>
      </c>
      <c r="BF323" s="138">
        <f>IF(N323="snížená",J323,0)</f>
        <v>2614978.13</v>
      </c>
      <c r="BG323" s="138">
        <f>IF(N323="zákl. přenesená",J323,0)</f>
        <v>0</v>
      </c>
      <c r="BH323" s="138">
        <f>IF(N323="sníž. přenesená",J323,0)</f>
        <v>0</v>
      </c>
      <c r="BI323" s="138">
        <f>IF(N323="nulová",J323,0)</f>
        <v>0</v>
      </c>
      <c r="BJ323" s="15" t="s">
        <v>143</v>
      </c>
      <c r="BK323" s="138">
        <f>ROUND(I323*H323,2)</f>
        <v>2614978.13</v>
      </c>
      <c r="BL323" s="15" t="s">
        <v>206</v>
      </c>
      <c r="BM323" s="137" t="s">
        <v>740</v>
      </c>
    </row>
    <row r="324" spans="2:65" s="1" customFormat="1" ht="16.5" customHeight="1">
      <c r="B324" s="126"/>
      <c r="C324" s="127" t="s">
        <v>741</v>
      </c>
      <c r="D324" s="127" t="s">
        <v>144</v>
      </c>
      <c r="E324" s="128" t="s">
        <v>742</v>
      </c>
      <c r="F324" s="129" t="s">
        <v>1165</v>
      </c>
      <c r="G324" s="130" t="s">
        <v>429</v>
      </c>
      <c r="H324" s="131">
        <v>0</v>
      </c>
      <c r="I324" s="132">
        <v>0</v>
      </c>
      <c r="J324" s="132">
        <f>ROUND(I324*H324,2)</f>
        <v>0</v>
      </c>
      <c r="K324" s="129" t="s">
        <v>1</v>
      </c>
      <c r="L324" s="27"/>
      <c r="M324" s="133" t="s">
        <v>1</v>
      </c>
      <c r="N324" s="134" t="s">
        <v>39</v>
      </c>
      <c r="O324" s="135">
        <v>0</v>
      </c>
      <c r="P324" s="135">
        <f>O324*H324</f>
        <v>0</v>
      </c>
      <c r="Q324" s="135">
        <v>0</v>
      </c>
      <c r="R324" s="135">
        <f>Q324*H324</f>
        <v>0</v>
      </c>
      <c r="S324" s="135">
        <v>0</v>
      </c>
      <c r="T324" s="136">
        <f>S324*H324</f>
        <v>0</v>
      </c>
      <c r="AR324" s="137" t="s">
        <v>206</v>
      </c>
      <c r="AT324" s="137" t="s">
        <v>144</v>
      </c>
      <c r="AU324" s="137" t="s">
        <v>143</v>
      </c>
      <c r="AY324" s="15" t="s">
        <v>141</v>
      </c>
      <c r="BE324" s="138">
        <f>IF(N324="základní",J324,0)</f>
        <v>0</v>
      </c>
      <c r="BF324" s="138">
        <f>IF(N324="snížená",J324,0)</f>
        <v>0</v>
      </c>
      <c r="BG324" s="138">
        <f>IF(N324="zákl. přenesená",J324,0)</f>
        <v>0</v>
      </c>
      <c r="BH324" s="138">
        <f>IF(N324="sníž. přenesená",J324,0)</f>
        <v>0</v>
      </c>
      <c r="BI324" s="138">
        <f>IF(N324="nulová",J324,0)</f>
        <v>0</v>
      </c>
      <c r="BJ324" s="15" t="s">
        <v>143</v>
      </c>
      <c r="BK324" s="138">
        <f>ROUND(I324*H324,2)</f>
        <v>0</v>
      </c>
      <c r="BL324" s="15" t="s">
        <v>206</v>
      </c>
      <c r="BM324" s="137" t="s">
        <v>744</v>
      </c>
    </row>
    <row r="325" spans="2:65" s="11" customFormat="1" ht="22.9" customHeight="1">
      <c r="B325" s="115"/>
      <c r="D325" s="116" t="s">
        <v>72</v>
      </c>
      <c r="E325" s="124" t="s">
        <v>745</v>
      </c>
      <c r="F325" s="124" t="s">
        <v>746</v>
      </c>
      <c r="J325" s="125">
        <f>BK325</f>
        <v>9460739.3000000007</v>
      </c>
      <c r="L325" s="115"/>
      <c r="M325" s="119"/>
      <c r="P325" s="120">
        <f>P326</f>
        <v>0</v>
      </c>
      <c r="R325" s="120">
        <f>R326</f>
        <v>0</v>
      </c>
      <c r="T325" s="121">
        <f>T326</f>
        <v>0</v>
      </c>
      <c r="AR325" s="116" t="s">
        <v>143</v>
      </c>
      <c r="AT325" s="122" t="s">
        <v>72</v>
      </c>
      <c r="AU325" s="122" t="s">
        <v>81</v>
      </c>
      <c r="AY325" s="116" t="s">
        <v>141</v>
      </c>
      <c r="BK325" s="123">
        <f>BK326</f>
        <v>9460739.3000000007</v>
      </c>
    </row>
    <row r="326" spans="2:65" s="1" customFormat="1" ht="24.2" customHeight="1">
      <c r="B326" s="126"/>
      <c r="C326" s="127" t="s">
        <v>747</v>
      </c>
      <c r="D326" s="127" t="s">
        <v>144</v>
      </c>
      <c r="E326" s="128" t="s">
        <v>748</v>
      </c>
      <c r="F326" s="129" t="s">
        <v>749</v>
      </c>
      <c r="G326" s="130" t="s">
        <v>429</v>
      </c>
      <c r="H326" s="131">
        <v>1</v>
      </c>
      <c r="I326" s="132">
        <v>9460739.3000000007</v>
      </c>
      <c r="J326" s="132">
        <f>ROUND(I326*H326,2)</f>
        <v>9460739.3000000007</v>
      </c>
      <c r="K326" s="129" t="s">
        <v>1</v>
      </c>
      <c r="L326" s="27"/>
      <c r="M326" s="133" t="s">
        <v>1</v>
      </c>
      <c r="N326" s="134" t="s">
        <v>39</v>
      </c>
      <c r="O326" s="135">
        <v>0</v>
      </c>
      <c r="P326" s="135">
        <f>O326*H326</f>
        <v>0</v>
      </c>
      <c r="Q326" s="135">
        <v>0</v>
      </c>
      <c r="R326" s="135">
        <f>Q326*H326</f>
        <v>0</v>
      </c>
      <c r="S326" s="135">
        <v>0</v>
      </c>
      <c r="T326" s="136">
        <f>S326*H326</f>
        <v>0</v>
      </c>
      <c r="AR326" s="137" t="s">
        <v>206</v>
      </c>
      <c r="AT326" s="137" t="s">
        <v>144</v>
      </c>
      <c r="AU326" s="137" t="s">
        <v>143</v>
      </c>
      <c r="AY326" s="15" t="s">
        <v>141</v>
      </c>
      <c r="BE326" s="138">
        <f>IF(N326="základní",J326,0)</f>
        <v>0</v>
      </c>
      <c r="BF326" s="138">
        <f>IF(N326="snížená",J326,0)</f>
        <v>9460739.3000000007</v>
      </c>
      <c r="BG326" s="138">
        <f>IF(N326="zákl. přenesená",J326,0)</f>
        <v>0</v>
      </c>
      <c r="BH326" s="138">
        <f>IF(N326="sníž. přenesená",J326,0)</f>
        <v>0</v>
      </c>
      <c r="BI326" s="138">
        <f>IF(N326="nulová",J326,0)</f>
        <v>0</v>
      </c>
      <c r="BJ326" s="15" t="s">
        <v>143</v>
      </c>
      <c r="BK326" s="138">
        <f>ROUND(I326*H326,2)</f>
        <v>9460739.3000000007</v>
      </c>
      <c r="BL326" s="15" t="s">
        <v>206</v>
      </c>
      <c r="BM326" s="137" t="s">
        <v>750</v>
      </c>
    </row>
    <row r="327" spans="2:65" s="11" customFormat="1" ht="22.9" customHeight="1">
      <c r="B327" s="115"/>
      <c r="D327" s="116" t="s">
        <v>72</v>
      </c>
      <c r="E327" s="124" t="s">
        <v>751</v>
      </c>
      <c r="F327" s="124" t="s">
        <v>752</v>
      </c>
      <c r="J327" s="125">
        <f>BK327</f>
        <v>1974787.63</v>
      </c>
      <c r="L327" s="115"/>
      <c r="M327" s="119"/>
      <c r="P327" s="120">
        <f>SUM(P328:P329)</f>
        <v>0</v>
      </c>
      <c r="R327" s="120">
        <f>SUM(R328:R329)</f>
        <v>0</v>
      </c>
      <c r="T327" s="121">
        <f>SUM(T328:T329)</f>
        <v>0</v>
      </c>
      <c r="AR327" s="116" t="s">
        <v>143</v>
      </c>
      <c r="AT327" s="122" t="s">
        <v>72</v>
      </c>
      <c r="AU327" s="122" t="s">
        <v>81</v>
      </c>
      <c r="AY327" s="116" t="s">
        <v>141</v>
      </c>
      <c r="BK327" s="123">
        <f>SUM(BK328:BK329)</f>
        <v>1974787.63</v>
      </c>
    </row>
    <row r="328" spans="2:65" s="1" customFormat="1" ht="16.5" customHeight="1">
      <c r="B328" s="126"/>
      <c r="C328" s="127" t="s">
        <v>753</v>
      </c>
      <c r="D328" s="127" t="s">
        <v>144</v>
      </c>
      <c r="E328" s="128" t="s">
        <v>754</v>
      </c>
      <c r="F328" s="129" t="s">
        <v>755</v>
      </c>
      <c r="G328" s="130" t="s">
        <v>429</v>
      </c>
      <c r="H328" s="131">
        <v>0</v>
      </c>
      <c r="I328" s="132">
        <v>0</v>
      </c>
      <c r="J328" s="132">
        <f>ROUND(I328*H328,2)</f>
        <v>0</v>
      </c>
      <c r="K328" s="129" t="s">
        <v>1</v>
      </c>
      <c r="L328" s="27"/>
      <c r="M328" s="133" t="s">
        <v>1</v>
      </c>
      <c r="N328" s="134" t="s">
        <v>39</v>
      </c>
      <c r="O328" s="135">
        <v>0</v>
      </c>
      <c r="P328" s="135">
        <f>O328*H328</f>
        <v>0</v>
      </c>
      <c r="Q328" s="135">
        <v>0</v>
      </c>
      <c r="R328" s="135">
        <f>Q328*H328</f>
        <v>0</v>
      </c>
      <c r="S328" s="135">
        <v>0</v>
      </c>
      <c r="T328" s="136">
        <f>S328*H328</f>
        <v>0</v>
      </c>
      <c r="AR328" s="137" t="s">
        <v>206</v>
      </c>
      <c r="AT328" s="137" t="s">
        <v>144</v>
      </c>
      <c r="AU328" s="137" t="s">
        <v>143</v>
      </c>
      <c r="AY328" s="15" t="s">
        <v>141</v>
      </c>
      <c r="BE328" s="138">
        <f>IF(N328="základní",J328,0)</f>
        <v>0</v>
      </c>
      <c r="BF328" s="138">
        <f>IF(N328="snížená",J328,0)</f>
        <v>0</v>
      </c>
      <c r="BG328" s="138">
        <f>IF(N328="zákl. přenesená",J328,0)</f>
        <v>0</v>
      </c>
      <c r="BH328" s="138">
        <f>IF(N328="sníž. přenesená",J328,0)</f>
        <v>0</v>
      </c>
      <c r="BI328" s="138">
        <f>IF(N328="nulová",J328,0)</f>
        <v>0</v>
      </c>
      <c r="BJ328" s="15" t="s">
        <v>143</v>
      </c>
      <c r="BK328" s="138">
        <f>ROUND(I328*H328,2)</f>
        <v>0</v>
      </c>
      <c r="BL328" s="15" t="s">
        <v>206</v>
      </c>
      <c r="BM328" s="137" t="s">
        <v>756</v>
      </c>
    </row>
    <row r="329" spans="2:65" s="1" customFormat="1" ht="16.5" customHeight="1">
      <c r="B329" s="126"/>
      <c r="C329" s="127" t="s">
        <v>757</v>
      </c>
      <c r="D329" s="127" t="s">
        <v>144</v>
      </c>
      <c r="E329" s="128" t="s">
        <v>758</v>
      </c>
      <c r="F329" s="129" t="s">
        <v>1166</v>
      </c>
      <c r="G329" s="130" t="s">
        <v>429</v>
      </c>
      <c r="H329" s="131">
        <v>1</v>
      </c>
      <c r="I329" s="132">
        <v>1974787.63</v>
      </c>
      <c r="J329" s="132">
        <f>ROUND(I329*H329,2)</f>
        <v>1974787.63</v>
      </c>
      <c r="K329" s="129" t="s">
        <v>1</v>
      </c>
      <c r="L329" s="27"/>
      <c r="M329" s="133" t="s">
        <v>1</v>
      </c>
      <c r="N329" s="134" t="s">
        <v>39</v>
      </c>
      <c r="O329" s="135">
        <v>0</v>
      </c>
      <c r="P329" s="135">
        <f>O329*H329</f>
        <v>0</v>
      </c>
      <c r="Q329" s="135">
        <v>0</v>
      </c>
      <c r="R329" s="135">
        <f>Q329*H329</f>
        <v>0</v>
      </c>
      <c r="S329" s="135">
        <v>0</v>
      </c>
      <c r="T329" s="136">
        <f>S329*H329</f>
        <v>0</v>
      </c>
      <c r="AR329" s="137" t="s">
        <v>206</v>
      </c>
      <c r="AT329" s="137" t="s">
        <v>144</v>
      </c>
      <c r="AU329" s="137" t="s">
        <v>143</v>
      </c>
      <c r="AY329" s="15" t="s">
        <v>141</v>
      </c>
      <c r="BE329" s="138">
        <f>IF(N329="základní",J329,0)</f>
        <v>0</v>
      </c>
      <c r="BF329" s="138">
        <f>IF(N329="snížená",J329,0)</f>
        <v>1974787.63</v>
      </c>
      <c r="BG329" s="138">
        <f>IF(N329="zákl. přenesená",J329,0)</f>
        <v>0</v>
      </c>
      <c r="BH329" s="138">
        <f>IF(N329="sníž. přenesená",J329,0)</f>
        <v>0</v>
      </c>
      <c r="BI329" s="138">
        <f>IF(N329="nulová",J329,0)</f>
        <v>0</v>
      </c>
      <c r="BJ329" s="15" t="s">
        <v>143</v>
      </c>
      <c r="BK329" s="138">
        <f>ROUND(I329*H329,2)</f>
        <v>1974787.63</v>
      </c>
      <c r="BL329" s="15" t="s">
        <v>206</v>
      </c>
      <c r="BM329" s="137" t="s">
        <v>759</v>
      </c>
    </row>
    <row r="330" spans="2:65" s="11" customFormat="1" ht="22.9" customHeight="1">
      <c r="B330" s="115"/>
      <c r="D330" s="116" t="s">
        <v>72</v>
      </c>
      <c r="E330" s="124" t="s">
        <v>760</v>
      </c>
      <c r="F330" s="124" t="s">
        <v>761</v>
      </c>
      <c r="J330" s="125">
        <f>BK330</f>
        <v>1419257.4200000002</v>
      </c>
      <c r="L330" s="115"/>
      <c r="M330" s="119"/>
      <c r="P330" s="120">
        <f>SUM(P331:P346)</f>
        <v>930.66855599999997</v>
      </c>
      <c r="R330" s="120">
        <f>SUM(R331:R346)</f>
        <v>32.726974439999999</v>
      </c>
      <c r="T330" s="121">
        <f>SUM(T331:T346)</f>
        <v>0</v>
      </c>
      <c r="AR330" s="116" t="s">
        <v>143</v>
      </c>
      <c r="AT330" s="122" t="s">
        <v>72</v>
      </c>
      <c r="AU330" s="122" t="s">
        <v>81</v>
      </c>
      <c r="AY330" s="116" t="s">
        <v>141</v>
      </c>
      <c r="BK330" s="123">
        <f>SUM(BK331:BK346)</f>
        <v>1419257.4200000002</v>
      </c>
    </row>
    <row r="331" spans="2:65" s="1" customFormat="1" ht="33" customHeight="1">
      <c r="B331" s="126"/>
      <c r="C331" s="127" t="s">
        <v>762</v>
      </c>
      <c r="D331" s="127" t="s">
        <v>144</v>
      </c>
      <c r="E331" s="128" t="s">
        <v>763</v>
      </c>
      <c r="F331" s="129" t="s">
        <v>764</v>
      </c>
      <c r="G331" s="130" t="s">
        <v>162</v>
      </c>
      <c r="H331" s="131">
        <v>32.923999999999999</v>
      </c>
      <c r="I331" s="132">
        <v>1010</v>
      </c>
      <c r="J331" s="132">
        <f t="shared" ref="J331:J346" si="70">ROUND(I331*H331,2)</f>
        <v>33253.24</v>
      </c>
      <c r="K331" s="129" t="s">
        <v>148</v>
      </c>
      <c r="L331" s="27"/>
      <c r="M331" s="133" t="s">
        <v>1</v>
      </c>
      <c r="N331" s="134" t="s">
        <v>39</v>
      </c>
      <c r="O331" s="135">
        <v>1.56</v>
      </c>
      <c r="P331" s="135">
        <f t="shared" ref="P331:P346" si="71">O331*H331</f>
        <v>51.361440000000002</v>
      </c>
      <c r="Q331" s="135">
        <v>1.08E-3</v>
      </c>
      <c r="R331" s="135">
        <f t="shared" ref="R331:R346" si="72">Q331*H331</f>
        <v>3.555792E-2</v>
      </c>
      <c r="S331" s="135">
        <v>0</v>
      </c>
      <c r="T331" s="136">
        <f t="shared" ref="T331:T346" si="73">S331*H331</f>
        <v>0</v>
      </c>
      <c r="AR331" s="137" t="s">
        <v>206</v>
      </c>
      <c r="AT331" s="137" t="s">
        <v>144</v>
      </c>
      <c r="AU331" s="137" t="s">
        <v>143</v>
      </c>
      <c r="AY331" s="15" t="s">
        <v>141</v>
      </c>
      <c r="BE331" s="138">
        <f t="shared" ref="BE331:BE346" si="74">IF(N331="základní",J331,0)</f>
        <v>0</v>
      </c>
      <c r="BF331" s="138">
        <f t="shared" ref="BF331:BF346" si="75">IF(N331="snížená",J331,0)</f>
        <v>33253.24</v>
      </c>
      <c r="BG331" s="138">
        <f t="shared" ref="BG331:BG346" si="76">IF(N331="zákl. přenesená",J331,0)</f>
        <v>0</v>
      </c>
      <c r="BH331" s="138">
        <f t="shared" ref="BH331:BH346" si="77">IF(N331="sníž. přenesená",J331,0)</f>
        <v>0</v>
      </c>
      <c r="BI331" s="138">
        <f t="shared" ref="BI331:BI346" si="78">IF(N331="nulová",J331,0)</f>
        <v>0</v>
      </c>
      <c r="BJ331" s="15" t="s">
        <v>143</v>
      </c>
      <c r="BK331" s="138">
        <f t="shared" ref="BK331:BK346" si="79">ROUND(I331*H331,2)</f>
        <v>33253.24</v>
      </c>
      <c r="BL331" s="15" t="s">
        <v>206</v>
      </c>
      <c r="BM331" s="137" t="s">
        <v>765</v>
      </c>
    </row>
    <row r="332" spans="2:65" s="1" customFormat="1" ht="24.2" customHeight="1">
      <c r="B332" s="126"/>
      <c r="C332" s="127" t="s">
        <v>766</v>
      </c>
      <c r="D332" s="127" t="s">
        <v>144</v>
      </c>
      <c r="E332" s="128" t="s">
        <v>767</v>
      </c>
      <c r="F332" s="129" t="s">
        <v>768</v>
      </c>
      <c r="G332" s="130" t="s">
        <v>193</v>
      </c>
      <c r="H332" s="131">
        <v>79.415999999999997</v>
      </c>
      <c r="I332" s="132">
        <v>223</v>
      </c>
      <c r="J332" s="132">
        <f t="shared" si="70"/>
        <v>17709.77</v>
      </c>
      <c r="K332" s="129" t="s">
        <v>148</v>
      </c>
      <c r="L332" s="27"/>
      <c r="M332" s="133" t="s">
        <v>1</v>
      </c>
      <c r="N332" s="134" t="s">
        <v>39</v>
      </c>
      <c r="O332" s="135">
        <v>0.45400000000000001</v>
      </c>
      <c r="P332" s="135">
        <f t="shared" si="71"/>
        <v>36.054864000000002</v>
      </c>
      <c r="Q332" s="135">
        <v>0</v>
      </c>
      <c r="R332" s="135">
        <f t="shared" si="72"/>
        <v>0</v>
      </c>
      <c r="S332" s="135">
        <v>0</v>
      </c>
      <c r="T332" s="136">
        <f t="shared" si="73"/>
        <v>0</v>
      </c>
      <c r="AR332" s="137" t="s">
        <v>206</v>
      </c>
      <c r="AT332" s="137" t="s">
        <v>144</v>
      </c>
      <c r="AU332" s="137" t="s">
        <v>143</v>
      </c>
      <c r="AY332" s="15" t="s">
        <v>141</v>
      </c>
      <c r="BE332" s="138">
        <f t="shared" si="74"/>
        <v>0</v>
      </c>
      <c r="BF332" s="138">
        <f t="shared" si="75"/>
        <v>17709.77</v>
      </c>
      <c r="BG332" s="138">
        <f t="shared" si="76"/>
        <v>0</v>
      </c>
      <c r="BH332" s="138">
        <f t="shared" si="77"/>
        <v>0</v>
      </c>
      <c r="BI332" s="138">
        <f t="shared" si="78"/>
        <v>0</v>
      </c>
      <c r="BJ332" s="15" t="s">
        <v>143</v>
      </c>
      <c r="BK332" s="138">
        <f t="shared" si="79"/>
        <v>17709.77</v>
      </c>
      <c r="BL332" s="15" t="s">
        <v>206</v>
      </c>
      <c r="BM332" s="137" t="s">
        <v>769</v>
      </c>
    </row>
    <row r="333" spans="2:65" s="1" customFormat="1" ht="21.75" customHeight="1">
      <c r="B333" s="126"/>
      <c r="C333" s="139" t="s">
        <v>770</v>
      </c>
      <c r="D333" s="139" t="s">
        <v>207</v>
      </c>
      <c r="E333" s="140" t="s">
        <v>771</v>
      </c>
      <c r="F333" s="141" t="s">
        <v>772</v>
      </c>
      <c r="G333" s="142" t="s">
        <v>162</v>
      </c>
      <c r="H333" s="143">
        <v>1.1180000000000001</v>
      </c>
      <c r="I333" s="144">
        <v>10900</v>
      </c>
      <c r="J333" s="144">
        <f t="shared" si="70"/>
        <v>12186.2</v>
      </c>
      <c r="K333" s="141" t="s">
        <v>148</v>
      </c>
      <c r="L333" s="145"/>
      <c r="M333" s="146" t="s">
        <v>1</v>
      </c>
      <c r="N333" s="147" t="s">
        <v>39</v>
      </c>
      <c r="O333" s="135">
        <v>0</v>
      </c>
      <c r="P333" s="135">
        <f t="shared" si="71"/>
        <v>0</v>
      </c>
      <c r="Q333" s="135">
        <v>0.55000000000000004</v>
      </c>
      <c r="R333" s="135">
        <f t="shared" si="72"/>
        <v>0.61490000000000011</v>
      </c>
      <c r="S333" s="135">
        <v>0</v>
      </c>
      <c r="T333" s="136">
        <f t="shared" si="73"/>
        <v>0</v>
      </c>
      <c r="AR333" s="137" t="s">
        <v>274</v>
      </c>
      <c r="AT333" s="137" t="s">
        <v>207</v>
      </c>
      <c r="AU333" s="137" t="s">
        <v>143</v>
      </c>
      <c r="AY333" s="15" t="s">
        <v>141</v>
      </c>
      <c r="BE333" s="138">
        <f t="shared" si="74"/>
        <v>0</v>
      </c>
      <c r="BF333" s="138">
        <f t="shared" si="75"/>
        <v>12186.2</v>
      </c>
      <c r="BG333" s="138">
        <f t="shared" si="76"/>
        <v>0</v>
      </c>
      <c r="BH333" s="138">
        <f t="shared" si="77"/>
        <v>0</v>
      </c>
      <c r="BI333" s="138">
        <f t="shared" si="78"/>
        <v>0</v>
      </c>
      <c r="BJ333" s="15" t="s">
        <v>143</v>
      </c>
      <c r="BK333" s="138">
        <f t="shared" si="79"/>
        <v>12186.2</v>
      </c>
      <c r="BL333" s="15" t="s">
        <v>206</v>
      </c>
      <c r="BM333" s="137" t="s">
        <v>773</v>
      </c>
    </row>
    <row r="334" spans="2:65" s="1" customFormat="1" ht="24.2" customHeight="1">
      <c r="B334" s="126"/>
      <c r="C334" s="127" t="s">
        <v>774</v>
      </c>
      <c r="D334" s="127" t="s">
        <v>144</v>
      </c>
      <c r="E334" s="128" t="s">
        <v>767</v>
      </c>
      <c r="F334" s="129" t="s">
        <v>768</v>
      </c>
      <c r="G334" s="130" t="s">
        <v>193</v>
      </c>
      <c r="H334" s="131">
        <v>96.623999999999995</v>
      </c>
      <c r="I334" s="132">
        <v>223</v>
      </c>
      <c r="J334" s="132">
        <f t="shared" si="70"/>
        <v>21547.15</v>
      </c>
      <c r="K334" s="129" t="s">
        <v>148</v>
      </c>
      <c r="L334" s="27"/>
      <c r="M334" s="133" t="s">
        <v>1</v>
      </c>
      <c r="N334" s="134" t="s">
        <v>39</v>
      </c>
      <c r="O334" s="135">
        <v>0.45400000000000001</v>
      </c>
      <c r="P334" s="135">
        <f t="shared" si="71"/>
        <v>43.867295999999996</v>
      </c>
      <c r="Q334" s="135">
        <v>0</v>
      </c>
      <c r="R334" s="135">
        <f t="shared" si="72"/>
        <v>0</v>
      </c>
      <c r="S334" s="135">
        <v>0</v>
      </c>
      <c r="T334" s="136">
        <f t="shared" si="73"/>
        <v>0</v>
      </c>
      <c r="AR334" s="137" t="s">
        <v>206</v>
      </c>
      <c r="AT334" s="137" t="s">
        <v>144</v>
      </c>
      <c r="AU334" s="137" t="s">
        <v>143</v>
      </c>
      <c r="AY334" s="15" t="s">
        <v>141</v>
      </c>
      <c r="BE334" s="138">
        <f t="shared" si="74"/>
        <v>0</v>
      </c>
      <c r="BF334" s="138">
        <f t="shared" si="75"/>
        <v>21547.15</v>
      </c>
      <c r="BG334" s="138">
        <f t="shared" si="76"/>
        <v>0</v>
      </c>
      <c r="BH334" s="138">
        <f t="shared" si="77"/>
        <v>0</v>
      </c>
      <c r="BI334" s="138">
        <f t="shared" si="78"/>
        <v>0</v>
      </c>
      <c r="BJ334" s="15" t="s">
        <v>143</v>
      </c>
      <c r="BK334" s="138">
        <f t="shared" si="79"/>
        <v>21547.15</v>
      </c>
      <c r="BL334" s="15" t="s">
        <v>206</v>
      </c>
      <c r="BM334" s="137" t="s">
        <v>775</v>
      </c>
    </row>
    <row r="335" spans="2:65" s="1" customFormat="1" ht="21.75" customHeight="1">
      <c r="B335" s="126"/>
      <c r="C335" s="139" t="s">
        <v>776</v>
      </c>
      <c r="D335" s="139" t="s">
        <v>207</v>
      </c>
      <c r="E335" s="140" t="s">
        <v>771</v>
      </c>
      <c r="F335" s="141" t="s">
        <v>772</v>
      </c>
      <c r="G335" s="142" t="s">
        <v>162</v>
      </c>
      <c r="H335" s="143">
        <v>2.7210000000000001</v>
      </c>
      <c r="I335" s="144">
        <v>10900</v>
      </c>
      <c r="J335" s="144">
        <f t="shared" si="70"/>
        <v>29658.9</v>
      </c>
      <c r="K335" s="141" t="s">
        <v>148</v>
      </c>
      <c r="L335" s="145"/>
      <c r="M335" s="146" t="s">
        <v>1</v>
      </c>
      <c r="N335" s="147" t="s">
        <v>39</v>
      </c>
      <c r="O335" s="135">
        <v>0</v>
      </c>
      <c r="P335" s="135">
        <f t="shared" si="71"/>
        <v>0</v>
      </c>
      <c r="Q335" s="135">
        <v>0.55000000000000004</v>
      </c>
      <c r="R335" s="135">
        <f t="shared" si="72"/>
        <v>1.4965500000000003</v>
      </c>
      <c r="S335" s="135">
        <v>0</v>
      </c>
      <c r="T335" s="136">
        <f t="shared" si="73"/>
        <v>0</v>
      </c>
      <c r="AR335" s="137" t="s">
        <v>274</v>
      </c>
      <c r="AT335" s="137" t="s">
        <v>207</v>
      </c>
      <c r="AU335" s="137" t="s">
        <v>143</v>
      </c>
      <c r="AY335" s="15" t="s">
        <v>141</v>
      </c>
      <c r="BE335" s="138">
        <f t="shared" si="74"/>
        <v>0</v>
      </c>
      <c r="BF335" s="138">
        <f t="shared" si="75"/>
        <v>29658.9</v>
      </c>
      <c r="BG335" s="138">
        <f t="shared" si="76"/>
        <v>0</v>
      </c>
      <c r="BH335" s="138">
        <f t="shared" si="77"/>
        <v>0</v>
      </c>
      <c r="BI335" s="138">
        <f t="shared" si="78"/>
        <v>0</v>
      </c>
      <c r="BJ335" s="15" t="s">
        <v>143</v>
      </c>
      <c r="BK335" s="138">
        <f t="shared" si="79"/>
        <v>29658.9</v>
      </c>
      <c r="BL335" s="15" t="s">
        <v>206</v>
      </c>
      <c r="BM335" s="137" t="s">
        <v>777</v>
      </c>
    </row>
    <row r="336" spans="2:65" s="1" customFormat="1" ht="24.2" customHeight="1">
      <c r="B336" s="126"/>
      <c r="C336" s="127" t="s">
        <v>778</v>
      </c>
      <c r="D336" s="127" t="s">
        <v>144</v>
      </c>
      <c r="E336" s="128" t="s">
        <v>767</v>
      </c>
      <c r="F336" s="129" t="s">
        <v>768</v>
      </c>
      <c r="G336" s="130" t="s">
        <v>193</v>
      </c>
      <c r="H336" s="131">
        <v>31.92</v>
      </c>
      <c r="I336" s="132">
        <v>223</v>
      </c>
      <c r="J336" s="132">
        <f t="shared" si="70"/>
        <v>7118.16</v>
      </c>
      <c r="K336" s="129" t="s">
        <v>148</v>
      </c>
      <c r="L336" s="27"/>
      <c r="M336" s="133" t="s">
        <v>1</v>
      </c>
      <c r="N336" s="134" t="s">
        <v>39</v>
      </c>
      <c r="O336" s="135">
        <v>0.45400000000000001</v>
      </c>
      <c r="P336" s="135">
        <f t="shared" si="71"/>
        <v>14.491680000000001</v>
      </c>
      <c r="Q336" s="135">
        <v>0</v>
      </c>
      <c r="R336" s="135">
        <f t="shared" si="72"/>
        <v>0</v>
      </c>
      <c r="S336" s="135">
        <v>0</v>
      </c>
      <c r="T336" s="136">
        <f t="shared" si="73"/>
        <v>0</v>
      </c>
      <c r="AR336" s="137" t="s">
        <v>206</v>
      </c>
      <c r="AT336" s="137" t="s">
        <v>144</v>
      </c>
      <c r="AU336" s="137" t="s">
        <v>143</v>
      </c>
      <c r="AY336" s="15" t="s">
        <v>141</v>
      </c>
      <c r="BE336" s="138">
        <f t="shared" si="74"/>
        <v>0</v>
      </c>
      <c r="BF336" s="138">
        <f t="shared" si="75"/>
        <v>7118.16</v>
      </c>
      <c r="BG336" s="138">
        <f t="shared" si="76"/>
        <v>0</v>
      </c>
      <c r="BH336" s="138">
        <f t="shared" si="77"/>
        <v>0</v>
      </c>
      <c r="BI336" s="138">
        <f t="shared" si="78"/>
        <v>0</v>
      </c>
      <c r="BJ336" s="15" t="s">
        <v>143</v>
      </c>
      <c r="BK336" s="138">
        <f t="shared" si="79"/>
        <v>7118.16</v>
      </c>
      <c r="BL336" s="15" t="s">
        <v>206</v>
      </c>
      <c r="BM336" s="137" t="s">
        <v>779</v>
      </c>
    </row>
    <row r="337" spans="2:65" s="1" customFormat="1" ht="21.75" customHeight="1">
      <c r="B337" s="126"/>
      <c r="C337" s="139" t="s">
        <v>780</v>
      </c>
      <c r="D337" s="139" t="s">
        <v>207</v>
      </c>
      <c r="E337" s="140" t="s">
        <v>771</v>
      </c>
      <c r="F337" s="141" t="s">
        <v>772</v>
      </c>
      <c r="G337" s="142" t="s">
        <v>162</v>
      </c>
      <c r="H337" s="143">
        <v>0.39300000000000002</v>
      </c>
      <c r="I337" s="144">
        <v>10900</v>
      </c>
      <c r="J337" s="144">
        <f t="shared" si="70"/>
        <v>4283.7</v>
      </c>
      <c r="K337" s="141" t="s">
        <v>148</v>
      </c>
      <c r="L337" s="145"/>
      <c r="M337" s="146" t="s">
        <v>1</v>
      </c>
      <c r="N337" s="147" t="s">
        <v>39</v>
      </c>
      <c r="O337" s="135">
        <v>0</v>
      </c>
      <c r="P337" s="135">
        <f t="shared" si="71"/>
        <v>0</v>
      </c>
      <c r="Q337" s="135">
        <v>0.55000000000000004</v>
      </c>
      <c r="R337" s="135">
        <f t="shared" si="72"/>
        <v>0.21615000000000004</v>
      </c>
      <c r="S337" s="135">
        <v>0</v>
      </c>
      <c r="T337" s="136">
        <f t="shared" si="73"/>
        <v>0</v>
      </c>
      <c r="AR337" s="137" t="s">
        <v>274</v>
      </c>
      <c r="AT337" s="137" t="s">
        <v>207</v>
      </c>
      <c r="AU337" s="137" t="s">
        <v>143</v>
      </c>
      <c r="AY337" s="15" t="s">
        <v>141</v>
      </c>
      <c r="BE337" s="138">
        <f t="shared" si="74"/>
        <v>0</v>
      </c>
      <c r="BF337" s="138">
        <f t="shared" si="75"/>
        <v>4283.7</v>
      </c>
      <c r="BG337" s="138">
        <f t="shared" si="76"/>
        <v>0</v>
      </c>
      <c r="BH337" s="138">
        <f t="shared" si="77"/>
        <v>0</v>
      </c>
      <c r="BI337" s="138">
        <f t="shared" si="78"/>
        <v>0</v>
      </c>
      <c r="BJ337" s="15" t="s">
        <v>143</v>
      </c>
      <c r="BK337" s="138">
        <f t="shared" si="79"/>
        <v>4283.7</v>
      </c>
      <c r="BL337" s="15" t="s">
        <v>206</v>
      </c>
      <c r="BM337" s="137" t="s">
        <v>781</v>
      </c>
    </row>
    <row r="338" spans="2:65" s="1" customFormat="1" ht="24.2" customHeight="1">
      <c r="B338" s="126"/>
      <c r="C338" s="127" t="s">
        <v>782</v>
      </c>
      <c r="D338" s="127" t="s">
        <v>144</v>
      </c>
      <c r="E338" s="128" t="s">
        <v>783</v>
      </c>
      <c r="F338" s="129" t="s">
        <v>784</v>
      </c>
      <c r="G338" s="130" t="s">
        <v>193</v>
      </c>
      <c r="H338" s="131">
        <v>744.88800000000003</v>
      </c>
      <c r="I338" s="132">
        <v>385</v>
      </c>
      <c r="J338" s="132">
        <f t="shared" si="70"/>
        <v>286781.88</v>
      </c>
      <c r="K338" s="129" t="s">
        <v>148</v>
      </c>
      <c r="L338" s="27"/>
      <c r="M338" s="133" t="s">
        <v>1</v>
      </c>
      <c r="N338" s="134" t="s">
        <v>39</v>
      </c>
      <c r="O338" s="135">
        <v>0.69799999999999995</v>
      </c>
      <c r="P338" s="135">
        <f t="shared" si="71"/>
        <v>519.93182400000001</v>
      </c>
      <c r="Q338" s="135">
        <v>0</v>
      </c>
      <c r="R338" s="135">
        <f t="shared" si="72"/>
        <v>0</v>
      </c>
      <c r="S338" s="135">
        <v>0</v>
      </c>
      <c r="T338" s="136">
        <f t="shared" si="73"/>
        <v>0</v>
      </c>
      <c r="AR338" s="137" t="s">
        <v>206</v>
      </c>
      <c r="AT338" s="137" t="s">
        <v>144</v>
      </c>
      <c r="AU338" s="137" t="s">
        <v>143</v>
      </c>
      <c r="AY338" s="15" t="s">
        <v>141</v>
      </c>
      <c r="BE338" s="138">
        <f t="shared" si="74"/>
        <v>0</v>
      </c>
      <c r="BF338" s="138">
        <f t="shared" si="75"/>
        <v>286781.88</v>
      </c>
      <c r="BG338" s="138">
        <f t="shared" si="76"/>
        <v>0</v>
      </c>
      <c r="BH338" s="138">
        <f t="shared" si="77"/>
        <v>0</v>
      </c>
      <c r="BI338" s="138">
        <f t="shared" si="78"/>
        <v>0</v>
      </c>
      <c r="BJ338" s="15" t="s">
        <v>143</v>
      </c>
      <c r="BK338" s="138">
        <f t="shared" si="79"/>
        <v>286781.88</v>
      </c>
      <c r="BL338" s="15" t="s">
        <v>206</v>
      </c>
      <c r="BM338" s="137" t="s">
        <v>785</v>
      </c>
    </row>
    <row r="339" spans="2:65" s="1" customFormat="1" ht="21.75" customHeight="1">
      <c r="B339" s="126"/>
      <c r="C339" s="139" t="s">
        <v>786</v>
      </c>
      <c r="D339" s="139" t="s">
        <v>207</v>
      </c>
      <c r="E339" s="140" t="s">
        <v>787</v>
      </c>
      <c r="F339" s="141" t="s">
        <v>788</v>
      </c>
      <c r="G339" s="142" t="s">
        <v>162</v>
      </c>
      <c r="H339" s="143">
        <v>26.22</v>
      </c>
      <c r="I339" s="144">
        <v>11100</v>
      </c>
      <c r="J339" s="144">
        <f t="shared" si="70"/>
        <v>291042</v>
      </c>
      <c r="K339" s="141" t="s">
        <v>148</v>
      </c>
      <c r="L339" s="145"/>
      <c r="M339" s="146" t="s">
        <v>1</v>
      </c>
      <c r="N339" s="147" t="s">
        <v>39</v>
      </c>
      <c r="O339" s="135">
        <v>0</v>
      </c>
      <c r="P339" s="135">
        <f t="shared" si="71"/>
        <v>0</v>
      </c>
      <c r="Q339" s="135">
        <v>0.55000000000000004</v>
      </c>
      <c r="R339" s="135">
        <f t="shared" si="72"/>
        <v>14.421000000000001</v>
      </c>
      <c r="S339" s="135">
        <v>0</v>
      </c>
      <c r="T339" s="136">
        <f t="shared" si="73"/>
        <v>0</v>
      </c>
      <c r="AR339" s="137" t="s">
        <v>274</v>
      </c>
      <c r="AT339" s="137" t="s">
        <v>207</v>
      </c>
      <c r="AU339" s="137" t="s">
        <v>143</v>
      </c>
      <c r="AY339" s="15" t="s">
        <v>141</v>
      </c>
      <c r="BE339" s="138">
        <f t="shared" si="74"/>
        <v>0</v>
      </c>
      <c r="BF339" s="138">
        <f t="shared" si="75"/>
        <v>291042</v>
      </c>
      <c r="BG339" s="138">
        <f t="shared" si="76"/>
        <v>0</v>
      </c>
      <c r="BH339" s="138">
        <f t="shared" si="77"/>
        <v>0</v>
      </c>
      <c r="BI339" s="138">
        <f t="shared" si="78"/>
        <v>0</v>
      </c>
      <c r="BJ339" s="15" t="s">
        <v>143</v>
      </c>
      <c r="BK339" s="138">
        <f t="shared" si="79"/>
        <v>291042</v>
      </c>
      <c r="BL339" s="15" t="s">
        <v>206</v>
      </c>
      <c r="BM339" s="137" t="s">
        <v>789</v>
      </c>
    </row>
    <row r="340" spans="2:65" s="1" customFormat="1" ht="33" customHeight="1">
      <c r="B340" s="126"/>
      <c r="C340" s="127" t="s">
        <v>790</v>
      </c>
      <c r="D340" s="127" t="s">
        <v>144</v>
      </c>
      <c r="E340" s="128" t="s">
        <v>791</v>
      </c>
      <c r="F340" s="129" t="s">
        <v>792</v>
      </c>
      <c r="G340" s="130" t="s">
        <v>193</v>
      </c>
      <c r="H340" s="131">
        <v>36</v>
      </c>
      <c r="I340" s="132">
        <v>445</v>
      </c>
      <c r="J340" s="132">
        <f t="shared" si="70"/>
        <v>16020</v>
      </c>
      <c r="K340" s="129" t="s">
        <v>148</v>
      </c>
      <c r="L340" s="27"/>
      <c r="M340" s="133" t="s">
        <v>1</v>
      </c>
      <c r="N340" s="134" t="s">
        <v>39</v>
      </c>
      <c r="O340" s="135">
        <v>0.81</v>
      </c>
      <c r="P340" s="135">
        <f t="shared" si="71"/>
        <v>29.160000000000004</v>
      </c>
      <c r="Q340" s="135">
        <v>0</v>
      </c>
      <c r="R340" s="135">
        <f t="shared" si="72"/>
        <v>0</v>
      </c>
      <c r="S340" s="135">
        <v>0</v>
      </c>
      <c r="T340" s="136">
        <f t="shared" si="73"/>
        <v>0</v>
      </c>
      <c r="AR340" s="137" t="s">
        <v>206</v>
      </c>
      <c r="AT340" s="137" t="s">
        <v>144</v>
      </c>
      <c r="AU340" s="137" t="s">
        <v>143</v>
      </c>
      <c r="AY340" s="15" t="s">
        <v>141</v>
      </c>
      <c r="BE340" s="138">
        <f t="shared" si="74"/>
        <v>0</v>
      </c>
      <c r="BF340" s="138">
        <f t="shared" si="75"/>
        <v>16020</v>
      </c>
      <c r="BG340" s="138">
        <f t="shared" si="76"/>
        <v>0</v>
      </c>
      <c r="BH340" s="138">
        <f t="shared" si="77"/>
        <v>0</v>
      </c>
      <c r="BI340" s="138">
        <f t="shared" si="78"/>
        <v>0</v>
      </c>
      <c r="BJ340" s="15" t="s">
        <v>143</v>
      </c>
      <c r="BK340" s="138">
        <f t="shared" si="79"/>
        <v>16020</v>
      </c>
      <c r="BL340" s="15" t="s">
        <v>206</v>
      </c>
      <c r="BM340" s="137" t="s">
        <v>793</v>
      </c>
    </row>
    <row r="341" spans="2:65" s="1" customFormat="1" ht="21.75" customHeight="1">
      <c r="B341" s="126"/>
      <c r="C341" s="139" t="s">
        <v>794</v>
      </c>
      <c r="D341" s="139" t="s">
        <v>207</v>
      </c>
      <c r="E341" s="140" t="s">
        <v>795</v>
      </c>
      <c r="F341" s="141" t="s">
        <v>796</v>
      </c>
      <c r="G341" s="142" t="s">
        <v>162</v>
      </c>
      <c r="H341" s="143">
        <v>2.4710000000000001</v>
      </c>
      <c r="I341" s="144">
        <v>13200</v>
      </c>
      <c r="J341" s="144">
        <f t="shared" si="70"/>
        <v>32617.200000000001</v>
      </c>
      <c r="K341" s="141" t="s">
        <v>148</v>
      </c>
      <c r="L341" s="145"/>
      <c r="M341" s="146" t="s">
        <v>1</v>
      </c>
      <c r="N341" s="147" t="s">
        <v>39</v>
      </c>
      <c r="O341" s="135">
        <v>0</v>
      </c>
      <c r="P341" s="135">
        <f t="shared" si="71"/>
        <v>0</v>
      </c>
      <c r="Q341" s="135">
        <v>0.55000000000000004</v>
      </c>
      <c r="R341" s="135">
        <f t="shared" si="72"/>
        <v>1.3590500000000001</v>
      </c>
      <c r="S341" s="135">
        <v>0</v>
      </c>
      <c r="T341" s="136">
        <f t="shared" si="73"/>
        <v>0</v>
      </c>
      <c r="AR341" s="137" t="s">
        <v>274</v>
      </c>
      <c r="AT341" s="137" t="s">
        <v>207</v>
      </c>
      <c r="AU341" s="137" t="s">
        <v>143</v>
      </c>
      <c r="AY341" s="15" t="s">
        <v>141</v>
      </c>
      <c r="BE341" s="138">
        <f t="shared" si="74"/>
        <v>0</v>
      </c>
      <c r="BF341" s="138">
        <f t="shared" si="75"/>
        <v>32617.200000000001</v>
      </c>
      <c r="BG341" s="138">
        <f t="shared" si="76"/>
        <v>0</v>
      </c>
      <c r="BH341" s="138">
        <f t="shared" si="77"/>
        <v>0</v>
      </c>
      <c r="BI341" s="138">
        <f t="shared" si="78"/>
        <v>0</v>
      </c>
      <c r="BJ341" s="15" t="s">
        <v>143</v>
      </c>
      <c r="BK341" s="138">
        <f t="shared" si="79"/>
        <v>32617.200000000001</v>
      </c>
      <c r="BL341" s="15" t="s">
        <v>206</v>
      </c>
      <c r="BM341" s="137" t="s">
        <v>797</v>
      </c>
    </row>
    <row r="342" spans="2:65" s="1" customFormat="1" ht="24.2" customHeight="1">
      <c r="B342" s="126"/>
      <c r="C342" s="127" t="s">
        <v>798</v>
      </c>
      <c r="D342" s="127" t="s">
        <v>144</v>
      </c>
      <c r="E342" s="128" t="s">
        <v>799</v>
      </c>
      <c r="F342" s="129" t="s">
        <v>800</v>
      </c>
      <c r="G342" s="130" t="s">
        <v>157</v>
      </c>
      <c r="H342" s="131">
        <v>689.47799999999995</v>
      </c>
      <c r="I342" s="132">
        <v>655</v>
      </c>
      <c r="J342" s="132">
        <f t="shared" si="70"/>
        <v>451608.09</v>
      </c>
      <c r="K342" s="129" t="s">
        <v>148</v>
      </c>
      <c r="L342" s="27"/>
      <c r="M342" s="133" t="s">
        <v>1</v>
      </c>
      <c r="N342" s="134" t="s">
        <v>39</v>
      </c>
      <c r="O342" s="135">
        <v>0.26400000000000001</v>
      </c>
      <c r="P342" s="135">
        <f t="shared" si="71"/>
        <v>182.02219199999999</v>
      </c>
      <c r="Q342" s="135">
        <v>1.61E-2</v>
      </c>
      <c r="R342" s="135">
        <f t="shared" si="72"/>
        <v>11.100595799999999</v>
      </c>
      <c r="S342" s="135">
        <v>0</v>
      </c>
      <c r="T342" s="136">
        <f t="shared" si="73"/>
        <v>0</v>
      </c>
      <c r="AR342" s="137" t="s">
        <v>206</v>
      </c>
      <c r="AT342" s="137" t="s">
        <v>144</v>
      </c>
      <c r="AU342" s="137" t="s">
        <v>143</v>
      </c>
      <c r="AY342" s="15" t="s">
        <v>141</v>
      </c>
      <c r="BE342" s="138">
        <f t="shared" si="74"/>
        <v>0</v>
      </c>
      <c r="BF342" s="138">
        <f t="shared" si="75"/>
        <v>451608.09</v>
      </c>
      <c r="BG342" s="138">
        <f t="shared" si="76"/>
        <v>0</v>
      </c>
      <c r="BH342" s="138">
        <f t="shared" si="77"/>
        <v>0</v>
      </c>
      <c r="BI342" s="138">
        <f t="shared" si="78"/>
        <v>0</v>
      </c>
      <c r="BJ342" s="15" t="s">
        <v>143</v>
      </c>
      <c r="BK342" s="138">
        <f t="shared" si="79"/>
        <v>451608.09</v>
      </c>
      <c r="BL342" s="15" t="s">
        <v>206</v>
      </c>
      <c r="BM342" s="137" t="s">
        <v>801</v>
      </c>
    </row>
    <row r="343" spans="2:65" s="1" customFormat="1" ht="24.2" customHeight="1">
      <c r="B343" s="126"/>
      <c r="C343" s="127" t="s">
        <v>802</v>
      </c>
      <c r="D343" s="127" t="s">
        <v>144</v>
      </c>
      <c r="E343" s="128" t="s">
        <v>803</v>
      </c>
      <c r="F343" s="129" t="s">
        <v>804</v>
      </c>
      <c r="G343" s="130" t="s">
        <v>193</v>
      </c>
      <c r="H343" s="131">
        <v>1792.6420000000001</v>
      </c>
      <c r="I343" s="132">
        <v>14</v>
      </c>
      <c r="J343" s="132">
        <f t="shared" si="70"/>
        <v>25096.99</v>
      </c>
      <c r="K343" s="129" t="s">
        <v>148</v>
      </c>
      <c r="L343" s="27"/>
      <c r="M343" s="133" t="s">
        <v>1</v>
      </c>
      <c r="N343" s="134" t="s">
        <v>39</v>
      </c>
      <c r="O343" s="135">
        <v>0.03</v>
      </c>
      <c r="P343" s="135">
        <f t="shared" si="71"/>
        <v>53.779260000000001</v>
      </c>
      <c r="Q343" s="135">
        <v>0</v>
      </c>
      <c r="R343" s="135">
        <f t="shared" si="72"/>
        <v>0</v>
      </c>
      <c r="S343" s="135">
        <v>0</v>
      </c>
      <c r="T343" s="136">
        <f t="shared" si="73"/>
        <v>0</v>
      </c>
      <c r="AR343" s="137" t="s">
        <v>206</v>
      </c>
      <c r="AT343" s="137" t="s">
        <v>144</v>
      </c>
      <c r="AU343" s="137" t="s">
        <v>143</v>
      </c>
      <c r="AY343" s="15" t="s">
        <v>141</v>
      </c>
      <c r="BE343" s="138">
        <f t="shared" si="74"/>
        <v>0</v>
      </c>
      <c r="BF343" s="138">
        <f t="shared" si="75"/>
        <v>25096.99</v>
      </c>
      <c r="BG343" s="138">
        <f t="shared" si="76"/>
        <v>0</v>
      </c>
      <c r="BH343" s="138">
        <f t="shared" si="77"/>
        <v>0</v>
      </c>
      <c r="BI343" s="138">
        <f t="shared" si="78"/>
        <v>0</v>
      </c>
      <c r="BJ343" s="15" t="s">
        <v>143</v>
      </c>
      <c r="BK343" s="138">
        <f t="shared" si="79"/>
        <v>25096.99</v>
      </c>
      <c r="BL343" s="15" t="s">
        <v>206</v>
      </c>
      <c r="BM343" s="137" t="s">
        <v>805</v>
      </c>
    </row>
    <row r="344" spans="2:65" s="1" customFormat="1" ht="16.5" customHeight="1">
      <c r="B344" s="126"/>
      <c r="C344" s="139" t="s">
        <v>806</v>
      </c>
      <c r="D344" s="139" t="s">
        <v>207</v>
      </c>
      <c r="E344" s="140" t="s">
        <v>807</v>
      </c>
      <c r="F344" s="141" t="s">
        <v>808</v>
      </c>
      <c r="G344" s="142" t="s">
        <v>162</v>
      </c>
      <c r="H344" s="143">
        <v>4.7329999999999997</v>
      </c>
      <c r="I344" s="144">
        <v>11000</v>
      </c>
      <c r="J344" s="144">
        <f t="shared" si="70"/>
        <v>52063</v>
      </c>
      <c r="K344" s="141" t="s">
        <v>148</v>
      </c>
      <c r="L344" s="145"/>
      <c r="M344" s="146" t="s">
        <v>1</v>
      </c>
      <c r="N344" s="147" t="s">
        <v>39</v>
      </c>
      <c r="O344" s="135">
        <v>0</v>
      </c>
      <c r="P344" s="135">
        <f t="shared" si="71"/>
        <v>0</v>
      </c>
      <c r="Q344" s="135">
        <v>0.55000000000000004</v>
      </c>
      <c r="R344" s="135">
        <f t="shared" si="72"/>
        <v>2.6031499999999999</v>
      </c>
      <c r="S344" s="135">
        <v>0</v>
      </c>
      <c r="T344" s="136">
        <f t="shared" si="73"/>
        <v>0</v>
      </c>
      <c r="AR344" s="137" t="s">
        <v>274</v>
      </c>
      <c r="AT344" s="137" t="s">
        <v>207</v>
      </c>
      <c r="AU344" s="137" t="s">
        <v>143</v>
      </c>
      <c r="AY344" s="15" t="s">
        <v>141</v>
      </c>
      <c r="BE344" s="138">
        <f t="shared" si="74"/>
        <v>0</v>
      </c>
      <c r="BF344" s="138">
        <f t="shared" si="75"/>
        <v>52063</v>
      </c>
      <c r="BG344" s="138">
        <f t="shared" si="76"/>
        <v>0</v>
      </c>
      <c r="BH344" s="138">
        <f t="shared" si="77"/>
        <v>0</v>
      </c>
      <c r="BI344" s="138">
        <f t="shared" si="78"/>
        <v>0</v>
      </c>
      <c r="BJ344" s="15" t="s">
        <v>143</v>
      </c>
      <c r="BK344" s="138">
        <f t="shared" si="79"/>
        <v>52063</v>
      </c>
      <c r="BL344" s="15" t="s">
        <v>206</v>
      </c>
      <c r="BM344" s="137" t="s">
        <v>809</v>
      </c>
    </row>
    <row r="345" spans="2:65" s="1" customFormat="1" ht="24.2" customHeight="1">
      <c r="B345" s="126"/>
      <c r="C345" s="127" t="s">
        <v>810</v>
      </c>
      <c r="D345" s="127" t="s">
        <v>144</v>
      </c>
      <c r="E345" s="128" t="s">
        <v>811</v>
      </c>
      <c r="F345" s="129" t="s">
        <v>812</v>
      </c>
      <c r="G345" s="130" t="s">
        <v>162</v>
      </c>
      <c r="H345" s="131">
        <v>37.655999999999999</v>
      </c>
      <c r="I345" s="132">
        <v>1680</v>
      </c>
      <c r="J345" s="132">
        <f t="shared" si="70"/>
        <v>63262.080000000002</v>
      </c>
      <c r="K345" s="129" t="s">
        <v>148</v>
      </c>
      <c r="L345" s="27"/>
      <c r="M345" s="133" t="s">
        <v>1</v>
      </c>
      <c r="N345" s="134" t="s">
        <v>39</v>
      </c>
      <c r="O345" s="135">
        <v>0</v>
      </c>
      <c r="P345" s="135">
        <f t="shared" si="71"/>
        <v>0</v>
      </c>
      <c r="Q345" s="135">
        <v>2.3369999999999998E-2</v>
      </c>
      <c r="R345" s="135">
        <f t="shared" si="72"/>
        <v>0.88002071999999987</v>
      </c>
      <c r="S345" s="135">
        <v>0</v>
      </c>
      <c r="T345" s="136">
        <f t="shared" si="73"/>
        <v>0</v>
      </c>
      <c r="AR345" s="137" t="s">
        <v>206</v>
      </c>
      <c r="AT345" s="137" t="s">
        <v>144</v>
      </c>
      <c r="AU345" s="137" t="s">
        <v>143</v>
      </c>
      <c r="AY345" s="15" t="s">
        <v>141</v>
      </c>
      <c r="BE345" s="138">
        <f t="shared" si="74"/>
        <v>0</v>
      </c>
      <c r="BF345" s="138">
        <f t="shared" si="75"/>
        <v>63262.080000000002</v>
      </c>
      <c r="BG345" s="138">
        <f t="shared" si="76"/>
        <v>0</v>
      </c>
      <c r="BH345" s="138">
        <f t="shared" si="77"/>
        <v>0</v>
      </c>
      <c r="BI345" s="138">
        <f t="shared" si="78"/>
        <v>0</v>
      </c>
      <c r="BJ345" s="15" t="s">
        <v>143</v>
      </c>
      <c r="BK345" s="138">
        <f t="shared" si="79"/>
        <v>63262.080000000002</v>
      </c>
      <c r="BL345" s="15" t="s">
        <v>206</v>
      </c>
      <c r="BM345" s="137" t="s">
        <v>813</v>
      </c>
    </row>
    <row r="346" spans="2:65" s="1" customFormat="1" ht="24.2" customHeight="1">
      <c r="B346" s="126"/>
      <c r="C346" s="127" t="s">
        <v>814</v>
      </c>
      <c r="D346" s="127" t="s">
        <v>144</v>
      </c>
      <c r="E346" s="128" t="s">
        <v>815</v>
      </c>
      <c r="F346" s="129" t="s">
        <v>816</v>
      </c>
      <c r="G346" s="130" t="s">
        <v>565</v>
      </c>
      <c r="H346" s="131">
        <v>13442.484</v>
      </c>
      <c r="I346" s="132">
        <v>5.58</v>
      </c>
      <c r="J346" s="132">
        <f t="shared" si="70"/>
        <v>75009.06</v>
      </c>
      <c r="K346" s="129" t="s">
        <v>148</v>
      </c>
      <c r="L346" s="27"/>
      <c r="M346" s="133" t="s">
        <v>1</v>
      </c>
      <c r="N346" s="134" t="s">
        <v>39</v>
      </c>
      <c r="O346" s="135">
        <v>0</v>
      </c>
      <c r="P346" s="135">
        <f t="shared" si="71"/>
        <v>0</v>
      </c>
      <c r="Q346" s="135">
        <v>0</v>
      </c>
      <c r="R346" s="135">
        <f t="shared" si="72"/>
        <v>0</v>
      </c>
      <c r="S346" s="135">
        <v>0</v>
      </c>
      <c r="T346" s="136">
        <f t="shared" si="73"/>
        <v>0</v>
      </c>
      <c r="AR346" s="137" t="s">
        <v>206</v>
      </c>
      <c r="AT346" s="137" t="s">
        <v>144</v>
      </c>
      <c r="AU346" s="137" t="s">
        <v>143</v>
      </c>
      <c r="AY346" s="15" t="s">
        <v>141</v>
      </c>
      <c r="BE346" s="138">
        <f t="shared" si="74"/>
        <v>0</v>
      </c>
      <c r="BF346" s="138">
        <f t="shared" si="75"/>
        <v>75009.06</v>
      </c>
      <c r="BG346" s="138">
        <f t="shared" si="76"/>
        <v>0</v>
      </c>
      <c r="BH346" s="138">
        <f t="shared" si="77"/>
        <v>0</v>
      </c>
      <c r="BI346" s="138">
        <f t="shared" si="78"/>
        <v>0</v>
      </c>
      <c r="BJ346" s="15" t="s">
        <v>143</v>
      </c>
      <c r="BK346" s="138">
        <f t="shared" si="79"/>
        <v>75009.06</v>
      </c>
      <c r="BL346" s="15" t="s">
        <v>206</v>
      </c>
      <c r="BM346" s="137" t="s">
        <v>817</v>
      </c>
    </row>
    <row r="347" spans="2:65" s="11" customFormat="1" ht="22.9" customHeight="1">
      <c r="B347" s="115"/>
      <c r="D347" s="116" t="s">
        <v>72</v>
      </c>
      <c r="E347" s="124" t="s">
        <v>818</v>
      </c>
      <c r="F347" s="124" t="s">
        <v>819</v>
      </c>
      <c r="J347" s="125">
        <f>BK347</f>
        <v>1064422.9800000002</v>
      </c>
      <c r="L347" s="115"/>
      <c r="M347" s="119"/>
      <c r="P347" s="120">
        <f>SUM(P348:P352)</f>
        <v>1192.3282200000003</v>
      </c>
      <c r="R347" s="120">
        <f>SUM(R348:R352)</f>
        <v>17.376020880000002</v>
      </c>
      <c r="T347" s="121">
        <f>SUM(T348:T352)</f>
        <v>0</v>
      </c>
      <c r="AR347" s="116" t="s">
        <v>143</v>
      </c>
      <c r="AT347" s="122" t="s">
        <v>72</v>
      </c>
      <c r="AU347" s="122" t="s">
        <v>81</v>
      </c>
      <c r="AY347" s="116" t="s">
        <v>141</v>
      </c>
      <c r="BK347" s="123">
        <f>SUM(BK348:BK352)</f>
        <v>1064422.9800000002</v>
      </c>
    </row>
    <row r="348" spans="2:65" s="1" customFormat="1" ht="24.2" customHeight="1">
      <c r="B348" s="126"/>
      <c r="C348" s="127" t="s">
        <v>820</v>
      </c>
      <c r="D348" s="127" t="s">
        <v>144</v>
      </c>
      <c r="E348" s="128" t="s">
        <v>821</v>
      </c>
      <c r="F348" s="129" t="s">
        <v>822</v>
      </c>
      <c r="G348" s="130" t="s">
        <v>157</v>
      </c>
      <c r="H348" s="131">
        <v>459.18700000000001</v>
      </c>
      <c r="I348" s="132">
        <v>856.95</v>
      </c>
      <c r="J348" s="132">
        <f>ROUND(I348*H348,2)</f>
        <v>393500.3</v>
      </c>
      <c r="K348" s="129" t="s">
        <v>1</v>
      </c>
      <c r="L348" s="27"/>
      <c r="M348" s="133" t="s">
        <v>1</v>
      </c>
      <c r="N348" s="134" t="s">
        <v>39</v>
      </c>
      <c r="O348" s="135">
        <v>0.96799999999999997</v>
      </c>
      <c r="P348" s="135">
        <f>O348*H348</f>
        <v>444.49301600000001</v>
      </c>
      <c r="Q348" s="135">
        <v>1.2200000000000001E-2</v>
      </c>
      <c r="R348" s="135">
        <f>Q348*H348</f>
        <v>5.6020814000000003</v>
      </c>
      <c r="S348" s="135">
        <v>0</v>
      </c>
      <c r="T348" s="136">
        <f>S348*H348</f>
        <v>0</v>
      </c>
      <c r="AR348" s="137" t="s">
        <v>206</v>
      </c>
      <c r="AT348" s="137" t="s">
        <v>144</v>
      </c>
      <c r="AU348" s="137" t="s">
        <v>143</v>
      </c>
      <c r="AY348" s="15" t="s">
        <v>141</v>
      </c>
      <c r="BE348" s="138">
        <f>IF(N348="základní",J348,0)</f>
        <v>0</v>
      </c>
      <c r="BF348" s="138">
        <f>IF(N348="snížená",J348,0)</f>
        <v>393500.3</v>
      </c>
      <c r="BG348" s="138">
        <f>IF(N348="zákl. přenesená",J348,0)</f>
        <v>0</v>
      </c>
      <c r="BH348" s="138">
        <f>IF(N348="sníž. přenesená",J348,0)</f>
        <v>0</v>
      </c>
      <c r="BI348" s="138">
        <f>IF(N348="nulová",J348,0)</f>
        <v>0</v>
      </c>
      <c r="BJ348" s="15" t="s">
        <v>143</v>
      </c>
      <c r="BK348" s="138">
        <f>ROUND(I348*H348,2)</f>
        <v>393500.3</v>
      </c>
      <c r="BL348" s="15" t="s">
        <v>206</v>
      </c>
      <c r="BM348" s="137" t="s">
        <v>823</v>
      </c>
    </row>
    <row r="349" spans="2:65" s="1" customFormat="1" ht="24.2" customHeight="1">
      <c r="B349" s="126"/>
      <c r="C349" s="127" t="s">
        <v>824</v>
      </c>
      <c r="D349" s="127" t="s">
        <v>144</v>
      </c>
      <c r="E349" s="128" t="s">
        <v>825</v>
      </c>
      <c r="F349" s="129" t="s">
        <v>826</v>
      </c>
      <c r="G349" s="130" t="s">
        <v>157</v>
      </c>
      <c r="H349" s="131">
        <v>689.47799999999995</v>
      </c>
      <c r="I349" s="132">
        <v>884</v>
      </c>
      <c r="J349" s="132">
        <f>ROUND(I349*H349,2)</f>
        <v>609498.55000000005</v>
      </c>
      <c r="K349" s="129" t="s">
        <v>148</v>
      </c>
      <c r="L349" s="27"/>
      <c r="M349" s="133" t="s">
        <v>1</v>
      </c>
      <c r="N349" s="134" t="s">
        <v>39</v>
      </c>
      <c r="O349" s="135">
        <v>1.018</v>
      </c>
      <c r="P349" s="135">
        <f>O349*H349</f>
        <v>701.88860399999999</v>
      </c>
      <c r="Q349" s="135">
        <v>1.6910000000000001E-2</v>
      </c>
      <c r="R349" s="135">
        <f>Q349*H349</f>
        <v>11.659072979999999</v>
      </c>
      <c r="S349" s="135">
        <v>0</v>
      </c>
      <c r="T349" s="136">
        <f>S349*H349</f>
        <v>0</v>
      </c>
      <c r="AR349" s="137" t="s">
        <v>206</v>
      </c>
      <c r="AT349" s="137" t="s">
        <v>144</v>
      </c>
      <c r="AU349" s="137" t="s">
        <v>143</v>
      </c>
      <c r="AY349" s="15" t="s">
        <v>141</v>
      </c>
      <c r="BE349" s="138">
        <f>IF(N349="základní",J349,0)</f>
        <v>0</v>
      </c>
      <c r="BF349" s="138">
        <f>IF(N349="snížená",J349,0)</f>
        <v>609498.55000000005</v>
      </c>
      <c r="BG349" s="138">
        <f>IF(N349="zákl. přenesená",J349,0)</f>
        <v>0</v>
      </c>
      <c r="BH349" s="138">
        <f>IF(N349="sníž. přenesená",J349,0)</f>
        <v>0</v>
      </c>
      <c r="BI349" s="138">
        <f>IF(N349="nulová",J349,0)</f>
        <v>0</v>
      </c>
      <c r="BJ349" s="15" t="s">
        <v>143</v>
      </c>
      <c r="BK349" s="138">
        <f>ROUND(I349*H349,2)</f>
        <v>609498.55000000005</v>
      </c>
      <c r="BL349" s="15" t="s">
        <v>206</v>
      </c>
      <c r="BM349" s="137" t="s">
        <v>827</v>
      </c>
    </row>
    <row r="350" spans="2:65" s="1" customFormat="1" ht="16.5" customHeight="1">
      <c r="B350" s="126"/>
      <c r="C350" s="127" t="s">
        <v>828</v>
      </c>
      <c r="D350" s="127" t="s">
        <v>144</v>
      </c>
      <c r="E350" s="128" t="s">
        <v>829</v>
      </c>
      <c r="F350" s="129" t="s">
        <v>830</v>
      </c>
      <c r="G350" s="130" t="s">
        <v>157</v>
      </c>
      <c r="H350" s="131">
        <v>689.47799999999995</v>
      </c>
      <c r="I350" s="132">
        <v>39.6</v>
      </c>
      <c r="J350" s="132">
        <f>ROUND(I350*H350,2)</f>
        <v>27303.33</v>
      </c>
      <c r="K350" s="129" t="s">
        <v>148</v>
      </c>
      <c r="L350" s="27"/>
      <c r="M350" s="133" t="s">
        <v>1</v>
      </c>
      <c r="N350" s="134" t="s">
        <v>39</v>
      </c>
      <c r="O350" s="135">
        <v>0.04</v>
      </c>
      <c r="P350" s="135">
        <f>O350*H350</f>
        <v>27.57912</v>
      </c>
      <c r="Q350" s="135">
        <v>1E-4</v>
      </c>
      <c r="R350" s="135">
        <f>Q350*H350</f>
        <v>6.8947800000000004E-2</v>
      </c>
      <c r="S350" s="135">
        <v>0</v>
      </c>
      <c r="T350" s="136">
        <f>S350*H350</f>
        <v>0</v>
      </c>
      <c r="AR350" s="137" t="s">
        <v>206</v>
      </c>
      <c r="AT350" s="137" t="s">
        <v>144</v>
      </c>
      <c r="AU350" s="137" t="s">
        <v>143</v>
      </c>
      <c r="AY350" s="15" t="s">
        <v>141</v>
      </c>
      <c r="BE350" s="138">
        <f>IF(N350="základní",J350,0)</f>
        <v>0</v>
      </c>
      <c r="BF350" s="138">
        <f>IF(N350="snížená",J350,0)</f>
        <v>27303.33</v>
      </c>
      <c r="BG350" s="138">
        <f>IF(N350="zákl. přenesená",J350,0)</f>
        <v>0</v>
      </c>
      <c r="BH350" s="138">
        <f>IF(N350="sníž. přenesená",J350,0)</f>
        <v>0</v>
      </c>
      <c r="BI350" s="138">
        <f>IF(N350="nulová",J350,0)</f>
        <v>0</v>
      </c>
      <c r="BJ350" s="15" t="s">
        <v>143</v>
      </c>
      <c r="BK350" s="138">
        <f>ROUND(I350*H350,2)</f>
        <v>27303.33</v>
      </c>
      <c r="BL350" s="15" t="s">
        <v>206</v>
      </c>
      <c r="BM350" s="137" t="s">
        <v>831</v>
      </c>
    </row>
    <row r="351" spans="2:65" s="1" customFormat="1" ht="16.5" customHeight="1">
      <c r="B351" s="126"/>
      <c r="C351" s="127" t="s">
        <v>832</v>
      </c>
      <c r="D351" s="127" t="s">
        <v>144</v>
      </c>
      <c r="E351" s="128" t="s">
        <v>829</v>
      </c>
      <c r="F351" s="129" t="s">
        <v>830</v>
      </c>
      <c r="G351" s="130" t="s">
        <v>157</v>
      </c>
      <c r="H351" s="131">
        <v>459.18700000000001</v>
      </c>
      <c r="I351" s="132">
        <v>39.6</v>
      </c>
      <c r="J351" s="132">
        <f>ROUND(I351*H351,2)</f>
        <v>18183.810000000001</v>
      </c>
      <c r="K351" s="129" t="s">
        <v>148</v>
      </c>
      <c r="L351" s="27"/>
      <c r="M351" s="133" t="s">
        <v>1</v>
      </c>
      <c r="N351" s="134" t="s">
        <v>39</v>
      </c>
      <c r="O351" s="135">
        <v>0.04</v>
      </c>
      <c r="P351" s="135">
        <f>O351*H351</f>
        <v>18.36748</v>
      </c>
      <c r="Q351" s="135">
        <v>1E-4</v>
      </c>
      <c r="R351" s="135">
        <f>Q351*H351</f>
        <v>4.5918700000000007E-2</v>
      </c>
      <c r="S351" s="135">
        <v>0</v>
      </c>
      <c r="T351" s="136">
        <f>S351*H351</f>
        <v>0</v>
      </c>
      <c r="AR351" s="137" t="s">
        <v>206</v>
      </c>
      <c r="AT351" s="137" t="s">
        <v>144</v>
      </c>
      <c r="AU351" s="137" t="s">
        <v>143</v>
      </c>
      <c r="AY351" s="15" t="s">
        <v>141</v>
      </c>
      <c r="BE351" s="138">
        <f>IF(N351="základní",J351,0)</f>
        <v>0</v>
      </c>
      <c r="BF351" s="138">
        <f>IF(N351="snížená",J351,0)</f>
        <v>18183.810000000001</v>
      </c>
      <c r="BG351" s="138">
        <f>IF(N351="zákl. přenesená",J351,0)</f>
        <v>0</v>
      </c>
      <c r="BH351" s="138">
        <f>IF(N351="sníž. přenesená",J351,0)</f>
        <v>0</v>
      </c>
      <c r="BI351" s="138">
        <f>IF(N351="nulová",J351,0)</f>
        <v>0</v>
      </c>
      <c r="BJ351" s="15" t="s">
        <v>143</v>
      </c>
      <c r="BK351" s="138">
        <f>ROUND(I351*H351,2)</f>
        <v>18183.810000000001</v>
      </c>
      <c r="BL351" s="15" t="s">
        <v>206</v>
      </c>
      <c r="BM351" s="137" t="s">
        <v>833</v>
      </c>
    </row>
    <row r="352" spans="2:65" s="1" customFormat="1" ht="24.2" customHeight="1">
      <c r="B352" s="126"/>
      <c r="C352" s="127" t="s">
        <v>834</v>
      </c>
      <c r="D352" s="127" t="s">
        <v>144</v>
      </c>
      <c r="E352" s="128" t="s">
        <v>835</v>
      </c>
      <c r="F352" s="129" t="s">
        <v>836</v>
      </c>
      <c r="G352" s="130" t="s">
        <v>565</v>
      </c>
      <c r="H352" s="131">
        <v>10484.86</v>
      </c>
      <c r="I352" s="132">
        <v>1.52</v>
      </c>
      <c r="J352" s="132">
        <f>ROUND(I352*H352,2)</f>
        <v>15936.99</v>
      </c>
      <c r="K352" s="129" t="s">
        <v>148</v>
      </c>
      <c r="L352" s="27"/>
      <c r="M352" s="133" t="s">
        <v>1</v>
      </c>
      <c r="N352" s="134" t="s">
        <v>39</v>
      </c>
      <c r="O352" s="135">
        <v>0</v>
      </c>
      <c r="P352" s="135">
        <f>O352*H352</f>
        <v>0</v>
      </c>
      <c r="Q352" s="135">
        <v>0</v>
      </c>
      <c r="R352" s="135">
        <f>Q352*H352</f>
        <v>0</v>
      </c>
      <c r="S352" s="135">
        <v>0</v>
      </c>
      <c r="T352" s="136">
        <f>S352*H352</f>
        <v>0</v>
      </c>
      <c r="AR352" s="137" t="s">
        <v>206</v>
      </c>
      <c r="AT352" s="137" t="s">
        <v>144</v>
      </c>
      <c r="AU352" s="137" t="s">
        <v>143</v>
      </c>
      <c r="AY352" s="15" t="s">
        <v>141</v>
      </c>
      <c r="BE352" s="138">
        <f>IF(N352="základní",J352,0)</f>
        <v>0</v>
      </c>
      <c r="BF352" s="138">
        <f>IF(N352="snížená",J352,0)</f>
        <v>15936.99</v>
      </c>
      <c r="BG352" s="138">
        <f>IF(N352="zákl. přenesená",J352,0)</f>
        <v>0</v>
      </c>
      <c r="BH352" s="138">
        <f>IF(N352="sníž. přenesená",J352,0)</f>
        <v>0</v>
      </c>
      <c r="BI352" s="138">
        <f>IF(N352="nulová",J352,0)</f>
        <v>0</v>
      </c>
      <c r="BJ352" s="15" t="s">
        <v>143</v>
      </c>
      <c r="BK352" s="138">
        <f>ROUND(I352*H352,2)</f>
        <v>15936.99</v>
      </c>
      <c r="BL352" s="15" t="s">
        <v>206</v>
      </c>
      <c r="BM352" s="137" t="s">
        <v>837</v>
      </c>
    </row>
    <row r="353" spans="2:65" s="11" customFormat="1" ht="22.9" customHeight="1">
      <c r="B353" s="115"/>
      <c r="D353" s="116" t="s">
        <v>72</v>
      </c>
      <c r="E353" s="124" t="s">
        <v>838</v>
      </c>
      <c r="F353" s="124" t="s">
        <v>839</v>
      </c>
      <c r="J353" s="125">
        <f>BK353</f>
        <v>1964572.96</v>
      </c>
      <c r="L353" s="115"/>
      <c r="M353" s="119"/>
      <c r="P353" s="120">
        <f>SUM(P354:P366)</f>
        <v>1057.1003899999998</v>
      </c>
      <c r="R353" s="120">
        <f>SUM(R354:R366)</f>
        <v>3.1988848400000003</v>
      </c>
      <c r="T353" s="121">
        <f>SUM(T354:T366)</f>
        <v>0</v>
      </c>
      <c r="AR353" s="116" t="s">
        <v>143</v>
      </c>
      <c r="AT353" s="122" t="s">
        <v>72</v>
      </c>
      <c r="AU353" s="122" t="s">
        <v>81</v>
      </c>
      <c r="AY353" s="116" t="s">
        <v>141</v>
      </c>
      <c r="BK353" s="123">
        <f>SUM(BK354:BK366)</f>
        <v>1964572.96</v>
      </c>
    </row>
    <row r="354" spans="2:65" s="1" customFormat="1" ht="16.5" customHeight="1">
      <c r="B354" s="126"/>
      <c r="C354" s="127" t="s">
        <v>840</v>
      </c>
      <c r="D354" s="127" t="s">
        <v>144</v>
      </c>
      <c r="E354" s="128" t="s">
        <v>841</v>
      </c>
      <c r="F354" s="129" t="s">
        <v>842</v>
      </c>
      <c r="G354" s="130" t="s">
        <v>429</v>
      </c>
      <c r="H354" s="131">
        <v>7</v>
      </c>
      <c r="I354" s="132">
        <v>460</v>
      </c>
      <c r="J354" s="132">
        <f t="shared" ref="J354:J366" si="80">ROUND(I354*H354,2)</f>
        <v>3220</v>
      </c>
      <c r="K354" s="129" t="s">
        <v>1</v>
      </c>
      <c r="L354" s="27"/>
      <c r="M354" s="133" t="s">
        <v>1</v>
      </c>
      <c r="N354" s="134" t="s">
        <v>39</v>
      </c>
      <c r="O354" s="135">
        <v>0</v>
      </c>
      <c r="P354" s="135">
        <f t="shared" ref="P354:P366" si="81">O354*H354</f>
        <v>0</v>
      </c>
      <c r="Q354" s="135">
        <v>0</v>
      </c>
      <c r="R354" s="135">
        <f t="shared" ref="R354:R366" si="82">Q354*H354</f>
        <v>0</v>
      </c>
      <c r="S354" s="135">
        <v>0</v>
      </c>
      <c r="T354" s="136">
        <f t="shared" ref="T354:T366" si="83">S354*H354</f>
        <v>0</v>
      </c>
      <c r="AR354" s="137" t="s">
        <v>206</v>
      </c>
      <c r="AT354" s="137" t="s">
        <v>144</v>
      </c>
      <c r="AU354" s="137" t="s">
        <v>143</v>
      </c>
      <c r="AY354" s="15" t="s">
        <v>141</v>
      </c>
      <c r="BE354" s="138">
        <f t="shared" ref="BE354:BE366" si="84">IF(N354="základní",J354,0)</f>
        <v>0</v>
      </c>
      <c r="BF354" s="138">
        <f t="shared" ref="BF354:BF366" si="85">IF(N354="snížená",J354,0)</f>
        <v>3220</v>
      </c>
      <c r="BG354" s="138">
        <f t="shared" ref="BG354:BG366" si="86">IF(N354="zákl. přenesená",J354,0)</f>
        <v>0</v>
      </c>
      <c r="BH354" s="138">
        <f t="shared" ref="BH354:BH366" si="87">IF(N354="sníž. přenesená",J354,0)</f>
        <v>0</v>
      </c>
      <c r="BI354" s="138">
        <f t="shared" ref="BI354:BI366" si="88">IF(N354="nulová",J354,0)</f>
        <v>0</v>
      </c>
      <c r="BJ354" s="15" t="s">
        <v>143</v>
      </c>
      <c r="BK354" s="138">
        <f t="shared" ref="BK354:BK366" si="89">ROUND(I354*H354,2)</f>
        <v>3220</v>
      </c>
      <c r="BL354" s="15" t="s">
        <v>206</v>
      </c>
      <c r="BM354" s="137" t="s">
        <v>843</v>
      </c>
    </row>
    <row r="355" spans="2:65" s="1" customFormat="1" ht="24.2" customHeight="1">
      <c r="B355" s="126"/>
      <c r="C355" s="127" t="s">
        <v>844</v>
      </c>
      <c r="D355" s="127" t="s">
        <v>144</v>
      </c>
      <c r="E355" s="128" t="s">
        <v>845</v>
      </c>
      <c r="F355" s="129" t="s">
        <v>846</v>
      </c>
      <c r="G355" s="130" t="s">
        <v>157</v>
      </c>
      <c r="H355" s="131">
        <v>689.47799999999995</v>
      </c>
      <c r="I355" s="132">
        <v>285</v>
      </c>
      <c r="J355" s="132">
        <f t="shared" si="80"/>
        <v>196501.23</v>
      </c>
      <c r="K355" s="129" t="s">
        <v>148</v>
      </c>
      <c r="L355" s="27"/>
      <c r="M355" s="133" t="s">
        <v>1</v>
      </c>
      <c r="N355" s="134" t="s">
        <v>39</v>
      </c>
      <c r="O355" s="135">
        <v>8.3000000000000004E-2</v>
      </c>
      <c r="P355" s="135">
        <f t="shared" si="81"/>
        <v>57.226673999999996</v>
      </c>
      <c r="Q355" s="135">
        <v>5.8E-4</v>
      </c>
      <c r="R355" s="135">
        <f t="shared" si="82"/>
        <v>0.39989723999999999</v>
      </c>
      <c r="S355" s="135">
        <v>0</v>
      </c>
      <c r="T355" s="136">
        <f t="shared" si="83"/>
        <v>0</v>
      </c>
      <c r="AR355" s="137" t="s">
        <v>206</v>
      </c>
      <c r="AT355" s="137" t="s">
        <v>144</v>
      </c>
      <c r="AU355" s="137" t="s">
        <v>143</v>
      </c>
      <c r="AY355" s="15" t="s">
        <v>141</v>
      </c>
      <c r="BE355" s="138">
        <f t="shared" si="84"/>
        <v>0</v>
      </c>
      <c r="BF355" s="138">
        <f t="shared" si="85"/>
        <v>196501.23</v>
      </c>
      <c r="BG355" s="138">
        <f t="shared" si="86"/>
        <v>0</v>
      </c>
      <c r="BH355" s="138">
        <f t="shared" si="87"/>
        <v>0</v>
      </c>
      <c r="BI355" s="138">
        <f t="shared" si="88"/>
        <v>0</v>
      </c>
      <c r="BJ355" s="15" t="s">
        <v>143</v>
      </c>
      <c r="BK355" s="138">
        <f t="shared" si="89"/>
        <v>196501.23</v>
      </c>
      <c r="BL355" s="15" t="s">
        <v>206</v>
      </c>
      <c r="BM355" s="137" t="s">
        <v>847</v>
      </c>
    </row>
    <row r="356" spans="2:65" s="1" customFormat="1" ht="24.2" customHeight="1">
      <c r="B356" s="126"/>
      <c r="C356" s="127" t="s">
        <v>848</v>
      </c>
      <c r="D356" s="127" t="s">
        <v>144</v>
      </c>
      <c r="E356" s="128" t="s">
        <v>849</v>
      </c>
      <c r="F356" s="129" t="s">
        <v>850</v>
      </c>
      <c r="G356" s="130" t="s">
        <v>157</v>
      </c>
      <c r="H356" s="131">
        <v>689.47799999999995</v>
      </c>
      <c r="I356" s="132">
        <v>1480</v>
      </c>
      <c r="J356" s="132">
        <f t="shared" si="80"/>
        <v>1020427.44</v>
      </c>
      <c r="K356" s="129" t="s">
        <v>148</v>
      </c>
      <c r="L356" s="27"/>
      <c r="M356" s="133" t="s">
        <v>1</v>
      </c>
      <c r="N356" s="134" t="s">
        <v>39</v>
      </c>
      <c r="O356" s="135">
        <v>0.95899999999999996</v>
      </c>
      <c r="P356" s="135">
        <f t="shared" si="81"/>
        <v>661.20940199999995</v>
      </c>
      <c r="Q356" s="135">
        <v>2.63E-3</v>
      </c>
      <c r="R356" s="135">
        <f t="shared" si="82"/>
        <v>1.8133271399999999</v>
      </c>
      <c r="S356" s="135">
        <v>0</v>
      </c>
      <c r="T356" s="136">
        <f t="shared" si="83"/>
        <v>0</v>
      </c>
      <c r="AR356" s="137" t="s">
        <v>206</v>
      </c>
      <c r="AT356" s="137" t="s">
        <v>144</v>
      </c>
      <c r="AU356" s="137" t="s">
        <v>143</v>
      </c>
      <c r="AY356" s="15" t="s">
        <v>141</v>
      </c>
      <c r="BE356" s="138">
        <f t="shared" si="84"/>
        <v>0</v>
      </c>
      <c r="BF356" s="138">
        <f t="shared" si="85"/>
        <v>1020427.44</v>
      </c>
      <c r="BG356" s="138">
        <f t="shared" si="86"/>
        <v>0</v>
      </c>
      <c r="BH356" s="138">
        <f t="shared" si="87"/>
        <v>0</v>
      </c>
      <c r="BI356" s="138">
        <f t="shared" si="88"/>
        <v>0</v>
      </c>
      <c r="BJ356" s="15" t="s">
        <v>143</v>
      </c>
      <c r="BK356" s="138">
        <f t="shared" si="89"/>
        <v>1020427.44</v>
      </c>
      <c r="BL356" s="15" t="s">
        <v>206</v>
      </c>
      <c r="BM356" s="137" t="s">
        <v>851</v>
      </c>
    </row>
    <row r="357" spans="2:65" s="1" customFormat="1" ht="24.2" customHeight="1">
      <c r="B357" s="126"/>
      <c r="C357" s="127" t="s">
        <v>852</v>
      </c>
      <c r="D357" s="127" t="s">
        <v>144</v>
      </c>
      <c r="E357" s="128" t="s">
        <v>853</v>
      </c>
      <c r="F357" s="129" t="s">
        <v>854</v>
      </c>
      <c r="G357" s="130" t="s">
        <v>193</v>
      </c>
      <c r="H357" s="131">
        <v>100.8</v>
      </c>
      <c r="I357" s="132">
        <v>1860</v>
      </c>
      <c r="J357" s="132">
        <f t="shared" si="80"/>
        <v>187488</v>
      </c>
      <c r="K357" s="129" t="s">
        <v>148</v>
      </c>
      <c r="L357" s="27"/>
      <c r="M357" s="133" t="s">
        <v>1</v>
      </c>
      <c r="N357" s="134" t="s">
        <v>39</v>
      </c>
      <c r="O357" s="135">
        <v>0.35</v>
      </c>
      <c r="P357" s="135">
        <f t="shared" si="81"/>
        <v>35.279999999999994</v>
      </c>
      <c r="Q357" s="135">
        <v>2.8300000000000001E-3</v>
      </c>
      <c r="R357" s="135">
        <f t="shared" si="82"/>
        <v>0.28526400000000002</v>
      </c>
      <c r="S357" s="135">
        <v>0</v>
      </c>
      <c r="T357" s="136">
        <f t="shared" si="83"/>
        <v>0</v>
      </c>
      <c r="AR357" s="137" t="s">
        <v>206</v>
      </c>
      <c r="AT357" s="137" t="s">
        <v>144</v>
      </c>
      <c r="AU357" s="137" t="s">
        <v>143</v>
      </c>
      <c r="AY357" s="15" t="s">
        <v>141</v>
      </c>
      <c r="BE357" s="138">
        <f t="shared" si="84"/>
        <v>0</v>
      </c>
      <c r="BF357" s="138">
        <f t="shared" si="85"/>
        <v>187488</v>
      </c>
      <c r="BG357" s="138">
        <f t="shared" si="86"/>
        <v>0</v>
      </c>
      <c r="BH357" s="138">
        <f t="shared" si="87"/>
        <v>0</v>
      </c>
      <c r="BI357" s="138">
        <f t="shared" si="88"/>
        <v>0</v>
      </c>
      <c r="BJ357" s="15" t="s">
        <v>143</v>
      </c>
      <c r="BK357" s="138">
        <f t="shared" si="89"/>
        <v>187488</v>
      </c>
      <c r="BL357" s="15" t="s">
        <v>206</v>
      </c>
      <c r="BM357" s="137" t="s">
        <v>855</v>
      </c>
    </row>
    <row r="358" spans="2:65" s="1" customFormat="1" ht="24.2" customHeight="1">
      <c r="B358" s="126"/>
      <c r="C358" s="127" t="s">
        <v>856</v>
      </c>
      <c r="D358" s="127" t="s">
        <v>144</v>
      </c>
      <c r="E358" s="128" t="s">
        <v>857</v>
      </c>
      <c r="F358" s="129" t="s">
        <v>858</v>
      </c>
      <c r="G358" s="130" t="s">
        <v>193</v>
      </c>
      <c r="H358" s="131">
        <v>1.3919999999999999</v>
      </c>
      <c r="I358" s="132">
        <v>680</v>
      </c>
      <c r="J358" s="132">
        <f t="shared" si="80"/>
        <v>946.56</v>
      </c>
      <c r="K358" s="129" t="s">
        <v>148</v>
      </c>
      <c r="L358" s="27"/>
      <c r="M358" s="133" t="s">
        <v>1</v>
      </c>
      <c r="N358" s="134" t="s">
        <v>39</v>
      </c>
      <c r="O358" s="135">
        <v>0.38600000000000001</v>
      </c>
      <c r="P358" s="135">
        <f t="shared" si="81"/>
        <v>0.53731200000000001</v>
      </c>
      <c r="Q358" s="135">
        <v>1.48E-3</v>
      </c>
      <c r="R358" s="135">
        <f t="shared" si="82"/>
        <v>2.0601599999999997E-3</v>
      </c>
      <c r="S358" s="135">
        <v>0</v>
      </c>
      <c r="T358" s="136">
        <f t="shared" si="83"/>
        <v>0</v>
      </c>
      <c r="AR358" s="137" t="s">
        <v>206</v>
      </c>
      <c r="AT358" s="137" t="s">
        <v>144</v>
      </c>
      <c r="AU358" s="137" t="s">
        <v>143</v>
      </c>
      <c r="AY358" s="15" t="s">
        <v>141</v>
      </c>
      <c r="BE358" s="138">
        <f t="shared" si="84"/>
        <v>0</v>
      </c>
      <c r="BF358" s="138">
        <f t="shared" si="85"/>
        <v>946.56</v>
      </c>
      <c r="BG358" s="138">
        <f t="shared" si="86"/>
        <v>0</v>
      </c>
      <c r="BH358" s="138">
        <f t="shared" si="87"/>
        <v>0</v>
      </c>
      <c r="BI358" s="138">
        <f t="shared" si="88"/>
        <v>0</v>
      </c>
      <c r="BJ358" s="15" t="s">
        <v>143</v>
      </c>
      <c r="BK358" s="138">
        <f t="shared" si="89"/>
        <v>946.56</v>
      </c>
      <c r="BL358" s="15" t="s">
        <v>206</v>
      </c>
      <c r="BM358" s="137" t="s">
        <v>859</v>
      </c>
    </row>
    <row r="359" spans="2:65" s="1" customFormat="1" ht="24.2" customHeight="1">
      <c r="B359" s="126"/>
      <c r="C359" s="127" t="s">
        <v>860</v>
      </c>
      <c r="D359" s="127" t="s">
        <v>144</v>
      </c>
      <c r="E359" s="128" t="s">
        <v>861</v>
      </c>
      <c r="F359" s="129" t="s">
        <v>862</v>
      </c>
      <c r="G359" s="130" t="s">
        <v>193</v>
      </c>
      <c r="H359" s="131">
        <v>103.72799999999999</v>
      </c>
      <c r="I359" s="132">
        <v>448</v>
      </c>
      <c r="J359" s="132">
        <f t="shared" si="80"/>
        <v>46470.14</v>
      </c>
      <c r="K359" s="129" t="s">
        <v>148</v>
      </c>
      <c r="L359" s="27"/>
      <c r="M359" s="133" t="s">
        <v>1</v>
      </c>
      <c r="N359" s="134" t="s">
        <v>39</v>
      </c>
      <c r="O359" s="135">
        <v>0.26900000000000002</v>
      </c>
      <c r="P359" s="135">
        <f t="shared" si="81"/>
        <v>27.902832</v>
      </c>
      <c r="Q359" s="135">
        <v>8.8999999999999995E-4</v>
      </c>
      <c r="R359" s="135">
        <f t="shared" si="82"/>
        <v>9.2317919999999984E-2</v>
      </c>
      <c r="S359" s="135">
        <v>0</v>
      </c>
      <c r="T359" s="136">
        <f t="shared" si="83"/>
        <v>0</v>
      </c>
      <c r="AR359" s="137" t="s">
        <v>206</v>
      </c>
      <c r="AT359" s="137" t="s">
        <v>144</v>
      </c>
      <c r="AU359" s="137" t="s">
        <v>143</v>
      </c>
      <c r="AY359" s="15" t="s">
        <v>141</v>
      </c>
      <c r="BE359" s="138">
        <f t="shared" si="84"/>
        <v>0</v>
      </c>
      <c r="BF359" s="138">
        <f t="shared" si="85"/>
        <v>46470.14</v>
      </c>
      <c r="BG359" s="138">
        <f t="shared" si="86"/>
        <v>0</v>
      </c>
      <c r="BH359" s="138">
        <f t="shared" si="87"/>
        <v>0</v>
      </c>
      <c r="BI359" s="138">
        <f t="shared" si="88"/>
        <v>0</v>
      </c>
      <c r="BJ359" s="15" t="s">
        <v>143</v>
      </c>
      <c r="BK359" s="138">
        <f t="shared" si="89"/>
        <v>46470.14</v>
      </c>
      <c r="BL359" s="15" t="s">
        <v>206</v>
      </c>
      <c r="BM359" s="137" t="s">
        <v>863</v>
      </c>
    </row>
    <row r="360" spans="2:65" s="1" customFormat="1" ht="33" customHeight="1">
      <c r="B360" s="126"/>
      <c r="C360" s="127" t="s">
        <v>864</v>
      </c>
      <c r="D360" s="127" t="s">
        <v>144</v>
      </c>
      <c r="E360" s="128" t="s">
        <v>865</v>
      </c>
      <c r="F360" s="129" t="s">
        <v>866</v>
      </c>
      <c r="G360" s="130" t="s">
        <v>193</v>
      </c>
      <c r="H360" s="131">
        <v>57.6</v>
      </c>
      <c r="I360" s="132">
        <v>902</v>
      </c>
      <c r="J360" s="132">
        <f t="shared" si="80"/>
        <v>51955.199999999997</v>
      </c>
      <c r="K360" s="129" t="s">
        <v>148</v>
      </c>
      <c r="L360" s="27"/>
      <c r="M360" s="133" t="s">
        <v>1</v>
      </c>
      <c r="N360" s="134" t="s">
        <v>39</v>
      </c>
      <c r="O360" s="135">
        <v>0.77500000000000002</v>
      </c>
      <c r="P360" s="135">
        <f t="shared" si="81"/>
        <v>44.64</v>
      </c>
      <c r="Q360" s="135">
        <v>1.15E-3</v>
      </c>
      <c r="R360" s="135">
        <f t="shared" si="82"/>
        <v>6.6240000000000007E-2</v>
      </c>
      <c r="S360" s="135">
        <v>0</v>
      </c>
      <c r="T360" s="136">
        <f t="shared" si="83"/>
        <v>0</v>
      </c>
      <c r="AR360" s="137" t="s">
        <v>206</v>
      </c>
      <c r="AT360" s="137" t="s">
        <v>144</v>
      </c>
      <c r="AU360" s="137" t="s">
        <v>143</v>
      </c>
      <c r="AY360" s="15" t="s">
        <v>141</v>
      </c>
      <c r="BE360" s="138">
        <f t="shared" si="84"/>
        <v>0</v>
      </c>
      <c r="BF360" s="138">
        <f t="shared" si="85"/>
        <v>51955.199999999997</v>
      </c>
      <c r="BG360" s="138">
        <f t="shared" si="86"/>
        <v>0</v>
      </c>
      <c r="BH360" s="138">
        <f t="shared" si="87"/>
        <v>0</v>
      </c>
      <c r="BI360" s="138">
        <f t="shared" si="88"/>
        <v>0</v>
      </c>
      <c r="BJ360" s="15" t="s">
        <v>143</v>
      </c>
      <c r="BK360" s="138">
        <f t="shared" si="89"/>
        <v>51955.199999999997</v>
      </c>
      <c r="BL360" s="15" t="s">
        <v>206</v>
      </c>
      <c r="BM360" s="137" t="s">
        <v>867</v>
      </c>
    </row>
    <row r="361" spans="2:65" s="1" customFormat="1" ht="33" customHeight="1">
      <c r="B361" s="126"/>
      <c r="C361" s="127" t="s">
        <v>868</v>
      </c>
      <c r="D361" s="127" t="s">
        <v>144</v>
      </c>
      <c r="E361" s="128" t="s">
        <v>869</v>
      </c>
      <c r="F361" s="129" t="s">
        <v>870</v>
      </c>
      <c r="G361" s="130" t="s">
        <v>157</v>
      </c>
      <c r="H361" s="131">
        <v>150.90600000000001</v>
      </c>
      <c r="I361" s="132">
        <v>1420</v>
      </c>
      <c r="J361" s="132">
        <f t="shared" si="80"/>
        <v>214286.52</v>
      </c>
      <c r="K361" s="129" t="s">
        <v>148</v>
      </c>
      <c r="L361" s="27"/>
      <c r="M361" s="133" t="s">
        <v>1</v>
      </c>
      <c r="N361" s="134" t="s">
        <v>39</v>
      </c>
      <c r="O361" s="135">
        <v>1.125</v>
      </c>
      <c r="P361" s="135">
        <f t="shared" si="81"/>
        <v>169.76925</v>
      </c>
      <c r="Q361" s="135">
        <v>2.0300000000000001E-3</v>
      </c>
      <c r="R361" s="135">
        <f t="shared" si="82"/>
        <v>0.30633918000000004</v>
      </c>
      <c r="S361" s="135">
        <v>0</v>
      </c>
      <c r="T361" s="136">
        <f t="shared" si="83"/>
        <v>0</v>
      </c>
      <c r="AR361" s="137" t="s">
        <v>206</v>
      </c>
      <c r="AT361" s="137" t="s">
        <v>144</v>
      </c>
      <c r="AU361" s="137" t="s">
        <v>143</v>
      </c>
      <c r="AY361" s="15" t="s">
        <v>141</v>
      </c>
      <c r="BE361" s="138">
        <f t="shared" si="84"/>
        <v>0</v>
      </c>
      <c r="BF361" s="138">
        <f t="shared" si="85"/>
        <v>214286.52</v>
      </c>
      <c r="BG361" s="138">
        <f t="shared" si="86"/>
        <v>0</v>
      </c>
      <c r="BH361" s="138">
        <f t="shared" si="87"/>
        <v>0</v>
      </c>
      <c r="BI361" s="138">
        <f t="shared" si="88"/>
        <v>0</v>
      </c>
      <c r="BJ361" s="15" t="s">
        <v>143</v>
      </c>
      <c r="BK361" s="138">
        <f t="shared" si="89"/>
        <v>214286.52</v>
      </c>
      <c r="BL361" s="15" t="s">
        <v>206</v>
      </c>
      <c r="BM361" s="137" t="s">
        <v>871</v>
      </c>
    </row>
    <row r="362" spans="2:65" s="1" customFormat="1" ht="24.2" customHeight="1">
      <c r="B362" s="126"/>
      <c r="C362" s="127" t="s">
        <v>872</v>
      </c>
      <c r="D362" s="127" t="s">
        <v>144</v>
      </c>
      <c r="E362" s="128" t="s">
        <v>873</v>
      </c>
      <c r="F362" s="129" t="s">
        <v>874</v>
      </c>
      <c r="G362" s="130" t="s">
        <v>193</v>
      </c>
      <c r="H362" s="131">
        <v>38.808</v>
      </c>
      <c r="I362" s="132">
        <v>711</v>
      </c>
      <c r="J362" s="132">
        <f t="shared" si="80"/>
        <v>27592.49</v>
      </c>
      <c r="K362" s="129" t="s">
        <v>148</v>
      </c>
      <c r="L362" s="27"/>
      <c r="M362" s="133" t="s">
        <v>1</v>
      </c>
      <c r="N362" s="134" t="s">
        <v>39</v>
      </c>
      <c r="O362" s="135">
        <v>0.34699999999999998</v>
      </c>
      <c r="P362" s="135">
        <f t="shared" si="81"/>
        <v>13.466375999999999</v>
      </c>
      <c r="Q362" s="135">
        <v>1.4599999999999999E-3</v>
      </c>
      <c r="R362" s="135">
        <f t="shared" si="82"/>
        <v>5.6659679999999997E-2</v>
      </c>
      <c r="S362" s="135">
        <v>0</v>
      </c>
      <c r="T362" s="136">
        <f t="shared" si="83"/>
        <v>0</v>
      </c>
      <c r="AR362" s="137" t="s">
        <v>206</v>
      </c>
      <c r="AT362" s="137" t="s">
        <v>144</v>
      </c>
      <c r="AU362" s="137" t="s">
        <v>143</v>
      </c>
      <c r="AY362" s="15" t="s">
        <v>141</v>
      </c>
      <c r="BE362" s="138">
        <f t="shared" si="84"/>
        <v>0</v>
      </c>
      <c r="BF362" s="138">
        <f t="shared" si="85"/>
        <v>27592.49</v>
      </c>
      <c r="BG362" s="138">
        <f t="shared" si="86"/>
        <v>0</v>
      </c>
      <c r="BH362" s="138">
        <f t="shared" si="87"/>
        <v>0</v>
      </c>
      <c r="BI362" s="138">
        <f t="shared" si="88"/>
        <v>0</v>
      </c>
      <c r="BJ362" s="15" t="s">
        <v>143</v>
      </c>
      <c r="BK362" s="138">
        <f t="shared" si="89"/>
        <v>27592.49</v>
      </c>
      <c r="BL362" s="15" t="s">
        <v>206</v>
      </c>
      <c r="BM362" s="137" t="s">
        <v>875</v>
      </c>
    </row>
    <row r="363" spans="2:65" s="1" customFormat="1" ht="16.5" customHeight="1">
      <c r="B363" s="126"/>
      <c r="C363" s="127" t="s">
        <v>876</v>
      </c>
      <c r="D363" s="127" t="s">
        <v>144</v>
      </c>
      <c r="E363" s="128" t="s">
        <v>877</v>
      </c>
      <c r="F363" s="129" t="s">
        <v>878</v>
      </c>
      <c r="G363" s="130" t="s">
        <v>193</v>
      </c>
      <c r="H363" s="131">
        <v>102.14400000000001</v>
      </c>
      <c r="I363" s="132">
        <v>1200</v>
      </c>
      <c r="J363" s="132">
        <f t="shared" si="80"/>
        <v>122572.8</v>
      </c>
      <c r="K363" s="129" t="s">
        <v>148</v>
      </c>
      <c r="L363" s="27"/>
      <c r="M363" s="133" t="s">
        <v>1</v>
      </c>
      <c r="N363" s="134" t="s">
        <v>39</v>
      </c>
      <c r="O363" s="135">
        <v>0.371</v>
      </c>
      <c r="P363" s="135">
        <f t="shared" si="81"/>
        <v>37.895423999999998</v>
      </c>
      <c r="Q363" s="135">
        <v>1.4300000000000001E-3</v>
      </c>
      <c r="R363" s="135">
        <f t="shared" si="82"/>
        <v>0.14606592000000002</v>
      </c>
      <c r="S363" s="135">
        <v>0</v>
      </c>
      <c r="T363" s="136">
        <f t="shared" si="83"/>
        <v>0</v>
      </c>
      <c r="AR363" s="137" t="s">
        <v>206</v>
      </c>
      <c r="AT363" s="137" t="s">
        <v>144</v>
      </c>
      <c r="AU363" s="137" t="s">
        <v>143</v>
      </c>
      <c r="AY363" s="15" t="s">
        <v>141</v>
      </c>
      <c r="BE363" s="138">
        <f t="shared" si="84"/>
        <v>0</v>
      </c>
      <c r="BF363" s="138">
        <f t="shared" si="85"/>
        <v>122572.8</v>
      </c>
      <c r="BG363" s="138">
        <f t="shared" si="86"/>
        <v>0</v>
      </c>
      <c r="BH363" s="138">
        <f t="shared" si="87"/>
        <v>0</v>
      </c>
      <c r="BI363" s="138">
        <f t="shared" si="88"/>
        <v>0</v>
      </c>
      <c r="BJ363" s="15" t="s">
        <v>143</v>
      </c>
      <c r="BK363" s="138">
        <f t="shared" si="89"/>
        <v>122572.8</v>
      </c>
      <c r="BL363" s="15" t="s">
        <v>206</v>
      </c>
      <c r="BM363" s="137" t="s">
        <v>879</v>
      </c>
    </row>
    <row r="364" spans="2:65" s="1" customFormat="1" ht="24.2" customHeight="1">
      <c r="B364" s="126"/>
      <c r="C364" s="127" t="s">
        <v>880</v>
      </c>
      <c r="D364" s="127" t="s">
        <v>144</v>
      </c>
      <c r="E364" s="128" t="s">
        <v>881</v>
      </c>
      <c r="F364" s="129" t="s">
        <v>882</v>
      </c>
      <c r="G364" s="130" t="s">
        <v>147</v>
      </c>
      <c r="H364" s="131">
        <v>4</v>
      </c>
      <c r="I364" s="132">
        <v>1220</v>
      </c>
      <c r="J364" s="132">
        <f t="shared" si="80"/>
        <v>4880</v>
      </c>
      <c r="K364" s="129" t="s">
        <v>148</v>
      </c>
      <c r="L364" s="27"/>
      <c r="M364" s="133" t="s">
        <v>1</v>
      </c>
      <c r="N364" s="134" t="s">
        <v>39</v>
      </c>
      <c r="O364" s="135">
        <v>0.65</v>
      </c>
      <c r="P364" s="135">
        <f t="shared" si="81"/>
        <v>2.6</v>
      </c>
      <c r="Q364" s="135">
        <v>2.0000000000000001E-4</v>
      </c>
      <c r="R364" s="135">
        <f t="shared" si="82"/>
        <v>8.0000000000000004E-4</v>
      </c>
      <c r="S364" s="135">
        <v>0</v>
      </c>
      <c r="T364" s="136">
        <f t="shared" si="83"/>
        <v>0</v>
      </c>
      <c r="AR364" s="137" t="s">
        <v>206</v>
      </c>
      <c r="AT364" s="137" t="s">
        <v>144</v>
      </c>
      <c r="AU364" s="137" t="s">
        <v>143</v>
      </c>
      <c r="AY364" s="15" t="s">
        <v>141</v>
      </c>
      <c r="BE364" s="138">
        <f t="shared" si="84"/>
        <v>0</v>
      </c>
      <c r="BF364" s="138">
        <f t="shared" si="85"/>
        <v>4880</v>
      </c>
      <c r="BG364" s="138">
        <f t="shared" si="86"/>
        <v>0</v>
      </c>
      <c r="BH364" s="138">
        <f t="shared" si="87"/>
        <v>0</v>
      </c>
      <c r="BI364" s="138">
        <f t="shared" si="88"/>
        <v>0</v>
      </c>
      <c r="BJ364" s="15" t="s">
        <v>143</v>
      </c>
      <c r="BK364" s="138">
        <f t="shared" si="89"/>
        <v>4880</v>
      </c>
      <c r="BL364" s="15" t="s">
        <v>206</v>
      </c>
      <c r="BM364" s="137" t="s">
        <v>883</v>
      </c>
    </row>
    <row r="365" spans="2:65" s="1" customFormat="1" ht="24.2" customHeight="1">
      <c r="B365" s="126"/>
      <c r="C365" s="127" t="s">
        <v>884</v>
      </c>
      <c r="D365" s="127" t="s">
        <v>144</v>
      </c>
      <c r="E365" s="128" t="s">
        <v>885</v>
      </c>
      <c r="F365" s="129" t="s">
        <v>886</v>
      </c>
      <c r="G365" s="130" t="s">
        <v>193</v>
      </c>
      <c r="H365" s="131">
        <v>19.68</v>
      </c>
      <c r="I365" s="132">
        <v>2950</v>
      </c>
      <c r="J365" s="132">
        <f t="shared" si="80"/>
        <v>58056</v>
      </c>
      <c r="K365" s="129" t="s">
        <v>148</v>
      </c>
      <c r="L365" s="27"/>
      <c r="M365" s="133" t="s">
        <v>1</v>
      </c>
      <c r="N365" s="134" t="s">
        <v>39</v>
      </c>
      <c r="O365" s="135">
        <v>0.33400000000000002</v>
      </c>
      <c r="P365" s="135">
        <f t="shared" si="81"/>
        <v>6.5731200000000003</v>
      </c>
      <c r="Q365" s="135">
        <v>1.5200000000000001E-3</v>
      </c>
      <c r="R365" s="135">
        <f t="shared" si="82"/>
        <v>2.9913600000000002E-2</v>
      </c>
      <c r="S365" s="135">
        <v>0</v>
      </c>
      <c r="T365" s="136">
        <f t="shared" si="83"/>
        <v>0</v>
      </c>
      <c r="AR365" s="137" t="s">
        <v>206</v>
      </c>
      <c r="AT365" s="137" t="s">
        <v>144</v>
      </c>
      <c r="AU365" s="137" t="s">
        <v>143</v>
      </c>
      <c r="AY365" s="15" t="s">
        <v>141</v>
      </c>
      <c r="BE365" s="138">
        <f t="shared" si="84"/>
        <v>0</v>
      </c>
      <c r="BF365" s="138">
        <f t="shared" si="85"/>
        <v>58056</v>
      </c>
      <c r="BG365" s="138">
        <f t="shared" si="86"/>
        <v>0</v>
      </c>
      <c r="BH365" s="138">
        <f t="shared" si="87"/>
        <v>0</v>
      </c>
      <c r="BI365" s="138">
        <f t="shared" si="88"/>
        <v>0</v>
      </c>
      <c r="BJ365" s="15" t="s">
        <v>143</v>
      </c>
      <c r="BK365" s="138">
        <f t="shared" si="89"/>
        <v>58056</v>
      </c>
      <c r="BL365" s="15" t="s">
        <v>206</v>
      </c>
      <c r="BM365" s="137" t="s">
        <v>887</v>
      </c>
    </row>
    <row r="366" spans="2:65" s="1" customFormat="1" ht="24.2" customHeight="1">
      <c r="B366" s="126"/>
      <c r="C366" s="127" t="s">
        <v>888</v>
      </c>
      <c r="D366" s="127" t="s">
        <v>144</v>
      </c>
      <c r="E366" s="128" t="s">
        <v>889</v>
      </c>
      <c r="F366" s="129" t="s">
        <v>890</v>
      </c>
      <c r="G366" s="130" t="s">
        <v>565</v>
      </c>
      <c r="H366" s="131">
        <v>19343.964</v>
      </c>
      <c r="I366" s="132">
        <v>1.56</v>
      </c>
      <c r="J366" s="132">
        <f t="shared" si="80"/>
        <v>30176.58</v>
      </c>
      <c r="K366" s="129" t="s">
        <v>148</v>
      </c>
      <c r="L366" s="27"/>
      <c r="M366" s="133" t="s">
        <v>1</v>
      </c>
      <c r="N366" s="134" t="s">
        <v>39</v>
      </c>
      <c r="O366" s="135">
        <v>0</v>
      </c>
      <c r="P366" s="135">
        <f t="shared" si="81"/>
        <v>0</v>
      </c>
      <c r="Q366" s="135">
        <v>0</v>
      </c>
      <c r="R366" s="135">
        <f t="shared" si="82"/>
        <v>0</v>
      </c>
      <c r="S366" s="135">
        <v>0</v>
      </c>
      <c r="T366" s="136">
        <f t="shared" si="83"/>
        <v>0</v>
      </c>
      <c r="AR366" s="137" t="s">
        <v>206</v>
      </c>
      <c r="AT366" s="137" t="s">
        <v>144</v>
      </c>
      <c r="AU366" s="137" t="s">
        <v>143</v>
      </c>
      <c r="AY366" s="15" t="s">
        <v>141</v>
      </c>
      <c r="BE366" s="138">
        <f t="shared" si="84"/>
        <v>0</v>
      </c>
      <c r="BF366" s="138">
        <f t="shared" si="85"/>
        <v>30176.58</v>
      </c>
      <c r="BG366" s="138">
        <f t="shared" si="86"/>
        <v>0</v>
      </c>
      <c r="BH366" s="138">
        <f t="shared" si="87"/>
        <v>0</v>
      </c>
      <c r="BI366" s="138">
        <f t="shared" si="88"/>
        <v>0</v>
      </c>
      <c r="BJ366" s="15" t="s">
        <v>143</v>
      </c>
      <c r="BK366" s="138">
        <f t="shared" si="89"/>
        <v>30176.58</v>
      </c>
      <c r="BL366" s="15" t="s">
        <v>206</v>
      </c>
      <c r="BM366" s="137" t="s">
        <v>891</v>
      </c>
    </row>
    <row r="367" spans="2:65" s="11" customFormat="1" ht="22.9" customHeight="1">
      <c r="B367" s="115"/>
      <c r="D367" s="116" t="s">
        <v>72</v>
      </c>
      <c r="E367" s="124" t="s">
        <v>892</v>
      </c>
      <c r="F367" s="124" t="s">
        <v>893</v>
      </c>
      <c r="J367" s="125">
        <f>BK367</f>
        <v>1726292.76</v>
      </c>
      <c r="L367" s="115"/>
      <c r="M367" s="119"/>
      <c r="P367" s="120">
        <f>SUM(P368:P379)</f>
        <v>0</v>
      </c>
      <c r="R367" s="120">
        <f>SUM(R368:R379)</f>
        <v>0</v>
      </c>
      <c r="T367" s="121">
        <f>SUM(T368:T379)</f>
        <v>0</v>
      </c>
      <c r="AR367" s="116" t="s">
        <v>143</v>
      </c>
      <c r="AT367" s="122" t="s">
        <v>72</v>
      </c>
      <c r="AU367" s="122" t="s">
        <v>81</v>
      </c>
      <c r="AY367" s="116" t="s">
        <v>141</v>
      </c>
      <c r="BK367" s="123">
        <f>SUM(BK368:BK379)</f>
        <v>1726292.76</v>
      </c>
    </row>
    <row r="368" spans="2:65" s="1" customFormat="1" ht="37.9" customHeight="1">
      <c r="B368" s="126"/>
      <c r="C368" s="127" t="s">
        <v>894</v>
      </c>
      <c r="D368" s="127" t="s">
        <v>144</v>
      </c>
      <c r="E368" s="128" t="s">
        <v>895</v>
      </c>
      <c r="F368" s="129" t="s">
        <v>896</v>
      </c>
      <c r="G368" s="130" t="s">
        <v>450</v>
      </c>
      <c r="H368" s="131">
        <v>13</v>
      </c>
      <c r="I368" s="132">
        <v>15300</v>
      </c>
      <c r="J368" s="132">
        <f t="shared" ref="J368:J376" si="90">ROUND(I368*H368,2)</f>
        <v>198900</v>
      </c>
      <c r="K368" s="129" t="s">
        <v>1</v>
      </c>
      <c r="L368" s="27"/>
      <c r="M368" s="133" t="s">
        <v>1</v>
      </c>
      <c r="N368" s="134" t="s">
        <v>39</v>
      </c>
      <c r="O368" s="135">
        <v>0</v>
      </c>
      <c r="P368" s="135">
        <f t="shared" ref="P368:P376" si="91">O368*H368</f>
        <v>0</v>
      </c>
      <c r="Q368" s="135">
        <v>0</v>
      </c>
      <c r="R368" s="135">
        <f t="shared" ref="R368:R376" si="92">Q368*H368</f>
        <v>0</v>
      </c>
      <c r="S368" s="135">
        <v>0</v>
      </c>
      <c r="T368" s="136">
        <f t="shared" ref="T368:T376" si="93">S368*H368</f>
        <v>0</v>
      </c>
      <c r="AR368" s="137" t="s">
        <v>206</v>
      </c>
      <c r="AT368" s="137" t="s">
        <v>144</v>
      </c>
      <c r="AU368" s="137" t="s">
        <v>143</v>
      </c>
      <c r="AY368" s="15" t="s">
        <v>141</v>
      </c>
      <c r="BE368" s="138">
        <f t="shared" ref="BE368:BE376" si="94">IF(N368="základní",J368,0)</f>
        <v>0</v>
      </c>
      <c r="BF368" s="138">
        <f t="shared" ref="BF368:BF376" si="95">IF(N368="snížená",J368,0)</f>
        <v>198900</v>
      </c>
      <c r="BG368" s="138">
        <f t="shared" ref="BG368:BG376" si="96">IF(N368="zákl. přenesená",J368,0)</f>
        <v>0</v>
      </c>
      <c r="BH368" s="138">
        <f t="shared" ref="BH368:BH376" si="97">IF(N368="sníž. přenesená",J368,0)</f>
        <v>0</v>
      </c>
      <c r="BI368" s="138">
        <f t="shared" ref="BI368:BI376" si="98">IF(N368="nulová",J368,0)</f>
        <v>0</v>
      </c>
      <c r="BJ368" s="15" t="s">
        <v>143</v>
      </c>
      <c r="BK368" s="138">
        <f t="shared" ref="BK368:BK376" si="99">ROUND(I368*H368,2)</f>
        <v>198900</v>
      </c>
      <c r="BL368" s="15" t="s">
        <v>206</v>
      </c>
      <c r="BM368" s="137" t="s">
        <v>897</v>
      </c>
    </row>
    <row r="369" spans="2:65" s="1" customFormat="1" ht="16.5" customHeight="1">
      <c r="B369" s="126"/>
      <c r="C369" s="127" t="s">
        <v>898</v>
      </c>
      <c r="D369" s="127" t="s">
        <v>144</v>
      </c>
      <c r="E369" s="128" t="s">
        <v>899</v>
      </c>
      <c r="F369" s="129" t="s">
        <v>900</v>
      </c>
      <c r="G369" s="130" t="s">
        <v>450</v>
      </c>
      <c r="H369" s="131">
        <v>28</v>
      </c>
      <c r="I369" s="132">
        <v>11400</v>
      </c>
      <c r="J369" s="132">
        <f t="shared" si="90"/>
        <v>319200</v>
      </c>
      <c r="K369" s="129" t="s">
        <v>1</v>
      </c>
      <c r="L369" s="27"/>
      <c r="M369" s="133" t="s">
        <v>1</v>
      </c>
      <c r="N369" s="134" t="s">
        <v>39</v>
      </c>
      <c r="O369" s="135">
        <v>0</v>
      </c>
      <c r="P369" s="135">
        <f t="shared" si="91"/>
        <v>0</v>
      </c>
      <c r="Q369" s="135">
        <v>0</v>
      </c>
      <c r="R369" s="135">
        <f t="shared" si="92"/>
        <v>0</v>
      </c>
      <c r="S369" s="135">
        <v>0</v>
      </c>
      <c r="T369" s="136">
        <f t="shared" si="93"/>
        <v>0</v>
      </c>
      <c r="AR369" s="137" t="s">
        <v>206</v>
      </c>
      <c r="AT369" s="137" t="s">
        <v>144</v>
      </c>
      <c r="AU369" s="137" t="s">
        <v>143</v>
      </c>
      <c r="AY369" s="15" t="s">
        <v>141</v>
      </c>
      <c r="BE369" s="138">
        <f t="shared" si="94"/>
        <v>0</v>
      </c>
      <c r="BF369" s="138">
        <f t="shared" si="95"/>
        <v>319200</v>
      </c>
      <c r="BG369" s="138">
        <f t="shared" si="96"/>
        <v>0</v>
      </c>
      <c r="BH369" s="138">
        <f t="shared" si="97"/>
        <v>0</v>
      </c>
      <c r="BI369" s="138">
        <f t="shared" si="98"/>
        <v>0</v>
      </c>
      <c r="BJ369" s="15" t="s">
        <v>143</v>
      </c>
      <c r="BK369" s="138">
        <f t="shared" si="99"/>
        <v>319200</v>
      </c>
      <c r="BL369" s="15" t="s">
        <v>206</v>
      </c>
      <c r="BM369" s="137" t="s">
        <v>901</v>
      </c>
    </row>
    <row r="370" spans="2:65" s="1" customFormat="1" ht="16.5" customHeight="1">
      <c r="B370" s="126"/>
      <c r="C370" s="127" t="s">
        <v>902</v>
      </c>
      <c r="D370" s="127" t="s">
        <v>144</v>
      </c>
      <c r="E370" s="128" t="s">
        <v>903</v>
      </c>
      <c r="F370" s="129" t="s">
        <v>904</v>
      </c>
      <c r="G370" s="130" t="s">
        <v>450</v>
      </c>
      <c r="H370" s="131">
        <v>8</v>
      </c>
      <c r="I370" s="132">
        <v>10800</v>
      </c>
      <c r="J370" s="132">
        <f t="shared" si="90"/>
        <v>86400</v>
      </c>
      <c r="K370" s="129" t="s">
        <v>1</v>
      </c>
      <c r="L370" s="27"/>
      <c r="M370" s="133" t="s">
        <v>1</v>
      </c>
      <c r="N370" s="134" t="s">
        <v>39</v>
      </c>
      <c r="O370" s="135">
        <v>0</v>
      </c>
      <c r="P370" s="135">
        <f t="shared" si="91"/>
        <v>0</v>
      </c>
      <c r="Q370" s="135">
        <v>0</v>
      </c>
      <c r="R370" s="135">
        <f t="shared" si="92"/>
        <v>0</v>
      </c>
      <c r="S370" s="135">
        <v>0</v>
      </c>
      <c r="T370" s="136">
        <f t="shared" si="93"/>
        <v>0</v>
      </c>
      <c r="AR370" s="137" t="s">
        <v>206</v>
      </c>
      <c r="AT370" s="137" t="s">
        <v>144</v>
      </c>
      <c r="AU370" s="137" t="s">
        <v>143</v>
      </c>
      <c r="AY370" s="15" t="s">
        <v>141</v>
      </c>
      <c r="BE370" s="138">
        <f t="shared" si="94"/>
        <v>0</v>
      </c>
      <c r="BF370" s="138">
        <f t="shared" si="95"/>
        <v>86400</v>
      </c>
      <c r="BG370" s="138">
        <f t="shared" si="96"/>
        <v>0</v>
      </c>
      <c r="BH370" s="138">
        <f t="shared" si="97"/>
        <v>0</v>
      </c>
      <c r="BI370" s="138">
        <f t="shared" si="98"/>
        <v>0</v>
      </c>
      <c r="BJ370" s="15" t="s">
        <v>143</v>
      </c>
      <c r="BK370" s="138">
        <f t="shared" si="99"/>
        <v>86400</v>
      </c>
      <c r="BL370" s="15" t="s">
        <v>206</v>
      </c>
      <c r="BM370" s="137" t="s">
        <v>905</v>
      </c>
    </row>
    <row r="371" spans="2:65" s="1" customFormat="1" ht="16.5" customHeight="1">
      <c r="B371" s="126"/>
      <c r="C371" s="127" t="s">
        <v>906</v>
      </c>
      <c r="D371" s="127" t="s">
        <v>144</v>
      </c>
      <c r="E371" s="128" t="s">
        <v>907</v>
      </c>
      <c r="F371" s="129" t="s">
        <v>908</v>
      </c>
      <c r="G371" s="130" t="s">
        <v>450</v>
      </c>
      <c r="H371" s="131">
        <v>0</v>
      </c>
      <c r="I371" s="132">
        <v>9700</v>
      </c>
      <c r="J371" s="132">
        <f t="shared" si="90"/>
        <v>0</v>
      </c>
      <c r="K371" s="129" t="s">
        <v>1</v>
      </c>
      <c r="L371" s="27"/>
      <c r="M371" s="133" t="s">
        <v>1</v>
      </c>
      <c r="N371" s="134" t="s">
        <v>39</v>
      </c>
      <c r="O371" s="135">
        <v>0</v>
      </c>
      <c r="P371" s="135">
        <f t="shared" si="91"/>
        <v>0</v>
      </c>
      <c r="Q371" s="135">
        <v>0</v>
      </c>
      <c r="R371" s="135">
        <f t="shared" si="92"/>
        <v>0</v>
      </c>
      <c r="S371" s="135">
        <v>0</v>
      </c>
      <c r="T371" s="136">
        <f t="shared" si="93"/>
        <v>0</v>
      </c>
      <c r="AR371" s="137" t="s">
        <v>206</v>
      </c>
      <c r="AT371" s="137" t="s">
        <v>144</v>
      </c>
      <c r="AU371" s="137" t="s">
        <v>143</v>
      </c>
      <c r="AY371" s="15" t="s">
        <v>141</v>
      </c>
      <c r="BE371" s="138">
        <f t="shared" si="94"/>
        <v>0</v>
      </c>
      <c r="BF371" s="138">
        <f t="shared" si="95"/>
        <v>0</v>
      </c>
      <c r="BG371" s="138">
        <f t="shared" si="96"/>
        <v>0</v>
      </c>
      <c r="BH371" s="138">
        <f t="shared" si="97"/>
        <v>0</v>
      </c>
      <c r="BI371" s="138">
        <f t="shared" si="98"/>
        <v>0</v>
      </c>
      <c r="BJ371" s="15" t="s">
        <v>143</v>
      </c>
      <c r="BK371" s="138">
        <f t="shared" si="99"/>
        <v>0</v>
      </c>
      <c r="BL371" s="15" t="s">
        <v>206</v>
      </c>
      <c r="BM371" s="137" t="s">
        <v>909</v>
      </c>
    </row>
    <row r="372" spans="2:65" s="1" customFormat="1" ht="24.2" customHeight="1">
      <c r="B372" s="126"/>
      <c r="C372" s="127" t="s">
        <v>910</v>
      </c>
      <c r="D372" s="127" t="s">
        <v>144</v>
      </c>
      <c r="E372" s="128" t="s">
        <v>911</v>
      </c>
      <c r="F372" s="129" t="s">
        <v>912</v>
      </c>
      <c r="G372" s="130" t="s">
        <v>450</v>
      </c>
      <c r="H372" s="131">
        <v>5</v>
      </c>
      <c r="I372" s="132">
        <v>15600</v>
      </c>
      <c r="J372" s="132">
        <f t="shared" si="90"/>
        <v>78000</v>
      </c>
      <c r="K372" s="129" t="s">
        <v>1</v>
      </c>
      <c r="L372" s="27"/>
      <c r="M372" s="133" t="s">
        <v>1</v>
      </c>
      <c r="N372" s="134" t="s">
        <v>39</v>
      </c>
      <c r="O372" s="135">
        <v>0</v>
      </c>
      <c r="P372" s="135">
        <f t="shared" si="91"/>
        <v>0</v>
      </c>
      <c r="Q372" s="135">
        <v>0</v>
      </c>
      <c r="R372" s="135">
        <f t="shared" si="92"/>
        <v>0</v>
      </c>
      <c r="S372" s="135">
        <v>0</v>
      </c>
      <c r="T372" s="136">
        <f t="shared" si="93"/>
        <v>0</v>
      </c>
      <c r="AR372" s="137" t="s">
        <v>206</v>
      </c>
      <c r="AT372" s="137" t="s">
        <v>144</v>
      </c>
      <c r="AU372" s="137" t="s">
        <v>143</v>
      </c>
      <c r="AY372" s="15" t="s">
        <v>141</v>
      </c>
      <c r="BE372" s="138">
        <f t="shared" si="94"/>
        <v>0</v>
      </c>
      <c r="BF372" s="138">
        <f t="shared" si="95"/>
        <v>78000</v>
      </c>
      <c r="BG372" s="138">
        <f t="shared" si="96"/>
        <v>0</v>
      </c>
      <c r="BH372" s="138">
        <f t="shared" si="97"/>
        <v>0</v>
      </c>
      <c r="BI372" s="138">
        <f t="shared" si="98"/>
        <v>0</v>
      </c>
      <c r="BJ372" s="15" t="s">
        <v>143</v>
      </c>
      <c r="BK372" s="138">
        <f t="shared" si="99"/>
        <v>78000</v>
      </c>
      <c r="BL372" s="15" t="s">
        <v>206</v>
      </c>
      <c r="BM372" s="137" t="s">
        <v>913</v>
      </c>
    </row>
    <row r="373" spans="2:65" s="1" customFormat="1" ht="16.5" customHeight="1">
      <c r="B373" s="126"/>
      <c r="C373" s="127" t="s">
        <v>914</v>
      </c>
      <c r="D373" s="127" t="s">
        <v>144</v>
      </c>
      <c r="E373" s="128" t="s">
        <v>915</v>
      </c>
      <c r="F373" s="129" t="s">
        <v>916</v>
      </c>
      <c r="G373" s="130" t="s">
        <v>450</v>
      </c>
      <c r="H373" s="131">
        <v>1</v>
      </c>
      <c r="I373" s="132">
        <v>16400</v>
      </c>
      <c r="J373" s="132">
        <f t="shared" si="90"/>
        <v>16400</v>
      </c>
      <c r="K373" s="129" t="s">
        <v>1</v>
      </c>
      <c r="L373" s="27"/>
      <c r="M373" s="133" t="s">
        <v>1</v>
      </c>
      <c r="N373" s="134" t="s">
        <v>39</v>
      </c>
      <c r="O373" s="135">
        <v>0</v>
      </c>
      <c r="P373" s="135">
        <f t="shared" si="91"/>
        <v>0</v>
      </c>
      <c r="Q373" s="135">
        <v>0</v>
      </c>
      <c r="R373" s="135">
        <f t="shared" si="92"/>
        <v>0</v>
      </c>
      <c r="S373" s="135">
        <v>0</v>
      </c>
      <c r="T373" s="136">
        <f t="shared" si="93"/>
        <v>0</v>
      </c>
      <c r="AR373" s="137" t="s">
        <v>206</v>
      </c>
      <c r="AT373" s="137" t="s">
        <v>144</v>
      </c>
      <c r="AU373" s="137" t="s">
        <v>143</v>
      </c>
      <c r="AY373" s="15" t="s">
        <v>141</v>
      </c>
      <c r="BE373" s="138">
        <f t="shared" si="94"/>
        <v>0</v>
      </c>
      <c r="BF373" s="138">
        <f t="shared" si="95"/>
        <v>16400</v>
      </c>
      <c r="BG373" s="138">
        <f t="shared" si="96"/>
        <v>0</v>
      </c>
      <c r="BH373" s="138">
        <f t="shared" si="97"/>
        <v>0</v>
      </c>
      <c r="BI373" s="138">
        <f t="shared" si="98"/>
        <v>0</v>
      </c>
      <c r="BJ373" s="15" t="s">
        <v>143</v>
      </c>
      <c r="BK373" s="138">
        <f t="shared" si="99"/>
        <v>16400</v>
      </c>
      <c r="BL373" s="15" t="s">
        <v>206</v>
      </c>
      <c r="BM373" s="137" t="s">
        <v>917</v>
      </c>
    </row>
    <row r="374" spans="2:65" s="1" customFormat="1" ht="16.5" customHeight="1">
      <c r="B374" s="126"/>
      <c r="C374" s="127" t="s">
        <v>918</v>
      </c>
      <c r="D374" s="127" t="s">
        <v>144</v>
      </c>
      <c r="E374" s="128" t="s">
        <v>919</v>
      </c>
      <c r="F374" s="129" t="s">
        <v>920</v>
      </c>
      <c r="G374" s="130" t="s">
        <v>450</v>
      </c>
      <c r="H374" s="131">
        <v>0</v>
      </c>
      <c r="I374" s="132">
        <v>21000</v>
      </c>
      <c r="J374" s="132">
        <f t="shared" si="90"/>
        <v>0</v>
      </c>
      <c r="K374" s="129" t="s">
        <v>1</v>
      </c>
      <c r="L374" s="27"/>
      <c r="M374" s="133" t="s">
        <v>1</v>
      </c>
      <c r="N374" s="134" t="s">
        <v>39</v>
      </c>
      <c r="O374" s="135">
        <v>0</v>
      </c>
      <c r="P374" s="135">
        <f t="shared" si="91"/>
        <v>0</v>
      </c>
      <c r="Q374" s="135">
        <v>0</v>
      </c>
      <c r="R374" s="135">
        <f t="shared" si="92"/>
        <v>0</v>
      </c>
      <c r="S374" s="135">
        <v>0</v>
      </c>
      <c r="T374" s="136">
        <f t="shared" si="93"/>
        <v>0</v>
      </c>
      <c r="AR374" s="137" t="s">
        <v>206</v>
      </c>
      <c r="AT374" s="137" t="s">
        <v>144</v>
      </c>
      <c r="AU374" s="137" t="s">
        <v>143</v>
      </c>
      <c r="AY374" s="15" t="s">
        <v>141</v>
      </c>
      <c r="BE374" s="138">
        <f t="shared" si="94"/>
        <v>0</v>
      </c>
      <c r="BF374" s="138">
        <f t="shared" si="95"/>
        <v>0</v>
      </c>
      <c r="BG374" s="138">
        <f t="shared" si="96"/>
        <v>0</v>
      </c>
      <c r="BH374" s="138">
        <f t="shared" si="97"/>
        <v>0</v>
      </c>
      <c r="BI374" s="138">
        <f t="shared" si="98"/>
        <v>0</v>
      </c>
      <c r="BJ374" s="15" t="s">
        <v>143</v>
      </c>
      <c r="BK374" s="138">
        <f t="shared" si="99"/>
        <v>0</v>
      </c>
      <c r="BL374" s="15" t="s">
        <v>206</v>
      </c>
      <c r="BM374" s="137" t="s">
        <v>921</v>
      </c>
    </row>
    <row r="375" spans="2:65" s="1" customFormat="1" ht="24.2" customHeight="1">
      <c r="B375" s="126"/>
      <c r="C375" s="127" t="s">
        <v>922</v>
      </c>
      <c r="D375" s="127" t="s">
        <v>144</v>
      </c>
      <c r="E375" s="128" t="s">
        <v>923</v>
      </c>
      <c r="F375" s="129" t="s">
        <v>924</v>
      </c>
      <c r="G375" s="130" t="s">
        <v>455</v>
      </c>
      <c r="H375" s="131">
        <v>54.24</v>
      </c>
      <c r="I375" s="132">
        <v>1700</v>
      </c>
      <c r="J375" s="132">
        <f t="shared" si="90"/>
        <v>92208</v>
      </c>
      <c r="K375" s="129" t="s">
        <v>1</v>
      </c>
      <c r="L375" s="27"/>
      <c r="M375" s="133" t="s">
        <v>1</v>
      </c>
      <c r="N375" s="134" t="s">
        <v>39</v>
      </c>
      <c r="O375" s="135">
        <v>0</v>
      </c>
      <c r="P375" s="135">
        <f t="shared" si="91"/>
        <v>0</v>
      </c>
      <c r="Q375" s="135">
        <v>0</v>
      </c>
      <c r="R375" s="135">
        <f t="shared" si="92"/>
        <v>0</v>
      </c>
      <c r="S375" s="135">
        <v>0</v>
      </c>
      <c r="T375" s="136">
        <f t="shared" si="93"/>
        <v>0</v>
      </c>
      <c r="AR375" s="137" t="s">
        <v>206</v>
      </c>
      <c r="AT375" s="137" t="s">
        <v>144</v>
      </c>
      <c r="AU375" s="137" t="s">
        <v>143</v>
      </c>
      <c r="AY375" s="15" t="s">
        <v>141</v>
      </c>
      <c r="BE375" s="138">
        <f t="shared" si="94"/>
        <v>0</v>
      </c>
      <c r="BF375" s="138">
        <f t="shared" si="95"/>
        <v>92208</v>
      </c>
      <c r="BG375" s="138">
        <f t="shared" si="96"/>
        <v>0</v>
      </c>
      <c r="BH375" s="138">
        <f t="shared" si="97"/>
        <v>0</v>
      </c>
      <c r="BI375" s="138">
        <f t="shared" si="98"/>
        <v>0</v>
      </c>
      <c r="BJ375" s="15" t="s">
        <v>143</v>
      </c>
      <c r="BK375" s="138">
        <f t="shared" si="99"/>
        <v>92208</v>
      </c>
      <c r="BL375" s="15" t="s">
        <v>206</v>
      </c>
      <c r="BM375" s="137" t="s">
        <v>925</v>
      </c>
    </row>
    <row r="376" spans="2:65" s="1" customFormat="1" ht="16.5" customHeight="1">
      <c r="B376" s="126"/>
      <c r="C376" s="127" t="s">
        <v>505</v>
      </c>
      <c r="D376" s="127" t="s">
        <v>144</v>
      </c>
      <c r="E376" s="128" t="s">
        <v>927</v>
      </c>
      <c r="F376" s="129" t="s">
        <v>1167</v>
      </c>
      <c r="G376" s="130" t="s">
        <v>429</v>
      </c>
      <c r="H376" s="131">
        <v>1</v>
      </c>
      <c r="I376" s="132">
        <v>867140</v>
      </c>
      <c r="J376" s="132">
        <f t="shared" si="90"/>
        <v>867140</v>
      </c>
      <c r="K376" s="129" t="s">
        <v>1</v>
      </c>
      <c r="L376" s="27"/>
      <c r="M376" s="133" t="s">
        <v>1</v>
      </c>
      <c r="N376" s="134" t="s">
        <v>39</v>
      </c>
      <c r="O376" s="135">
        <v>0</v>
      </c>
      <c r="P376" s="135">
        <f t="shared" si="91"/>
        <v>0</v>
      </c>
      <c r="Q376" s="135">
        <v>0</v>
      </c>
      <c r="R376" s="135">
        <f t="shared" si="92"/>
        <v>0</v>
      </c>
      <c r="S376" s="135">
        <v>0</v>
      </c>
      <c r="T376" s="136">
        <f t="shared" si="93"/>
        <v>0</v>
      </c>
      <c r="AR376" s="137" t="s">
        <v>206</v>
      </c>
      <c r="AT376" s="137" t="s">
        <v>144</v>
      </c>
      <c r="AU376" s="137" t="s">
        <v>143</v>
      </c>
      <c r="AY376" s="15" t="s">
        <v>141</v>
      </c>
      <c r="BE376" s="138">
        <f t="shared" si="94"/>
        <v>0</v>
      </c>
      <c r="BF376" s="138">
        <f t="shared" si="95"/>
        <v>867140</v>
      </c>
      <c r="BG376" s="138">
        <f t="shared" si="96"/>
        <v>0</v>
      </c>
      <c r="BH376" s="138">
        <f t="shared" si="97"/>
        <v>0</v>
      </c>
      <c r="BI376" s="138">
        <f t="shared" si="98"/>
        <v>0</v>
      </c>
      <c r="BJ376" s="15" t="s">
        <v>143</v>
      </c>
      <c r="BK376" s="138">
        <f t="shared" si="99"/>
        <v>867140</v>
      </c>
      <c r="BL376" s="15" t="s">
        <v>206</v>
      </c>
      <c r="BM376" s="137" t="s">
        <v>1168</v>
      </c>
    </row>
    <row r="377" spans="2:65" s="12" customFormat="1">
      <c r="B377" s="148"/>
      <c r="D377" s="149" t="s">
        <v>363</v>
      </c>
      <c r="E377" s="154" t="s">
        <v>1</v>
      </c>
      <c r="F377" s="150" t="s">
        <v>1169</v>
      </c>
      <c r="H377" s="151">
        <v>1</v>
      </c>
      <c r="L377" s="148"/>
      <c r="M377" s="152"/>
      <c r="T377" s="153"/>
      <c r="AT377" s="154" t="s">
        <v>363</v>
      </c>
      <c r="AU377" s="154" t="s">
        <v>143</v>
      </c>
      <c r="AV377" s="12" t="s">
        <v>143</v>
      </c>
      <c r="AW377" s="12" t="s">
        <v>29</v>
      </c>
      <c r="AX377" s="12" t="s">
        <v>81</v>
      </c>
      <c r="AY377" s="154" t="s">
        <v>141</v>
      </c>
    </row>
    <row r="378" spans="2:65" s="1" customFormat="1" ht="24.2" customHeight="1">
      <c r="B378" s="126"/>
      <c r="C378" s="127" t="s">
        <v>265</v>
      </c>
      <c r="D378" s="127" t="s">
        <v>144</v>
      </c>
      <c r="E378" s="128" t="s">
        <v>932</v>
      </c>
      <c r="F378" s="129" t="s">
        <v>1170</v>
      </c>
      <c r="G378" s="130" t="s">
        <v>450</v>
      </c>
      <c r="H378" s="131">
        <v>2</v>
      </c>
      <c r="I378" s="132">
        <v>24800</v>
      </c>
      <c r="J378" s="132">
        <f>ROUND(I378*H378,2)</f>
        <v>49600</v>
      </c>
      <c r="K378" s="129" t="s">
        <v>1</v>
      </c>
      <c r="L378" s="27"/>
      <c r="M378" s="133" t="s">
        <v>1</v>
      </c>
      <c r="N378" s="134" t="s">
        <v>39</v>
      </c>
      <c r="O378" s="135">
        <v>0</v>
      </c>
      <c r="P378" s="135">
        <f>O378*H378</f>
        <v>0</v>
      </c>
      <c r="Q378" s="135">
        <v>0</v>
      </c>
      <c r="R378" s="135">
        <f>Q378*H378</f>
        <v>0</v>
      </c>
      <c r="S378" s="135">
        <v>0</v>
      </c>
      <c r="T378" s="136">
        <f>S378*H378</f>
        <v>0</v>
      </c>
      <c r="AR378" s="137" t="s">
        <v>206</v>
      </c>
      <c r="AT378" s="137" t="s">
        <v>144</v>
      </c>
      <c r="AU378" s="137" t="s">
        <v>143</v>
      </c>
      <c r="AY378" s="15" t="s">
        <v>141</v>
      </c>
      <c r="BE378" s="138">
        <f>IF(N378="základní",J378,0)</f>
        <v>0</v>
      </c>
      <c r="BF378" s="138">
        <f>IF(N378="snížená",J378,0)</f>
        <v>49600</v>
      </c>
      <c r="BG378" s="138">
        <f>IF(N378="zákl. přenesená",J378,0)</f>
        <v>0</v>
      </c>
      <c r="BH378" s="138">
        <f>IF(N378="sníž. přenesená",J378,0)</f>
        <v>0</v>
      </c>
      <c r="BI378" s="138">
        <f>IF(N378="nulová",J378,0)</f>
        <v>0</v>
      </c>
      <c r="BJ378" s="15" t="s">
        <v>143</v>
      </c>
      <c r="BK378" s="138">
        <f>ROUND(I378*H378,2)</f>
        <v>49600</v>
      </c>
      <c r="BL378" s="15" t="s">
        <v>206</v>
      </c>
      <c r="BM378" s="137" t="s">
        <v>1171</v>
      </c>
    </row>
    <row r="379" spans="2:65" s="1" customFormat="1" ht="24.2" customHeight="1">
      <c r="B379" s="126"/>
      <c r="C379" s="127" t="s">
        <v>935</v>
      </c>
      <c r="D379" s="127" t="s">
        <v>144</v>
      </c>
      <c r="E379" s="128" t="s">
        <v>936</v>
      </c>
      <c r="F379" s="129" t="s">
        <v>937</v>
      </c>
      <c r="G379" s="130" t="s">
        <v>565</v>
      </c>
      <c r="H379" s="131">
        <v>17078.48</v>
      </c>
      <c r="I379" s="132">
        <v>1.08</v>
      </c>
      <c r="J379" s="132">
        <f>ROUND(I379*H379,2)</f>
        <v>18444.759999999998</v>
      </c>
      <c r="K379" s="129" t="s">
        <v>148</v>
      </c>
      <c r="L379" s="27"/>
      <c r="M379" s="133" t="s">
        <v>1</v>
      </c>
      <c r="N379" s="134" t="s">
        <v>39</v>
      </c>
      <c r="O379" s="135">
        <v>0</v>
      </c>
      <c r="P379" s="135">
        <f>O379*H379</f>
        <v>0</v>
      </c>
      <c r="Q379" s="135">
        <v>0</v>
      </c>
      <c r="R379" s="135">
        <f>Q379*H379</f>
        <v>0</v>
      </c>
      <c r="S379" s="135">
        <v>0</v>
      </c>
      <c r="T379" s="136">
        <f>S379*H379</f>
        <v>0</v>
      </c>
      <c r="AR379" s="137" t="s">
        <v>206</v>
      </c>
      <c r="AT379" s="137" t="s">
        <v>144</v>
      </c>
      <c r="AU379" s="137" t="s">
        <v>143</v>
      </c>
      <c r="AY379" s="15" t="s">
        <v>141</v>
      </c>
      <c r="BE379" s="138">
        <f>IF(N379="základní",J379,0)</f>
        <v>0</v>
      </c>
      <c r="BF379" s="138">
        <f>IF(N379="snížená",J379,0)</f>
        <v>18444.759999999998</v>
      </c>
      <c r="BG379" s="138">
        <f>IF(N379="zákl. přenesená",J379,0)</f>
        <v>0</v>
      </c>
      <c r="BH379" s="138">
        <f>IF(N379="sníž. přenesená",J379,0)</f>
        <v>0</v>
      </c>
      <c r="BI379" s="138">
        <f>IF(N379="nulová",J379,0)</f>
        <v>0</v>
      </c>
      <c r="BJ379" s="15" t="s">
        <v>143</v>
      </c>
      <c r="BK379" s="138">
        <f>ROUND(I379*H379,2)</f>
        <v>18444.759999999998</v>
      </c>
      <c r="BL379" s="15" t="s">
        <v>206</v>
      </c>
      <c r="BM379" s="137" t="s">
        <v>938</v>
      </c>
    </row>
    <row r="380" spans="2:65" s="11" customFormat="1" ht="22.9" customHeight="1">
      <c r="B380" s="115"/>
      <c r="D380" s="116" t="s">
        <v>72</v>
      </c>
      <c r="E380" s="124" t="s">
        <v>939</v>
      </c>
      <c r="F380" s="124" t="s">
        <v>940</v>
      </c>
      <c r="J380" s="125">
        <f>BK380</f>
        <v>4216300.45</v>
      </c>
      <c r="L380" s="115"/>
      <c r="M380" s="119"/>
      <c r="P380" s="120">
        <f>SUM(P381:P397)</f>
        <v>0</v>
      </c>
      <c r="R380" s="120">
        <f>SUM(R381:R397)</f>
        <v>0</v>
      </c>
      <c r="T380" s="121">
        <f>SUM(T381:T397)</f>
        <v>0</v>
      </c>
      <c r="AR380" s="116" t="s">
        <v>143</v>
      </c>
      <c r="AT380" s="122" t="s">
        <v>72</v>
      </c>
      <c r="AU380" s="122" t="s">
        <v>81</v>
      </c>
      <c r="AY380" s="116" t="s">
        <v>141</v>
      </c>
      <c r="BK380" s="123">
        <f>SUM(BK381:BK397)</f>
        <v>4216300.45</v>
      </c>
    </row>
    <row r="381" spans="2:65" s="1" customFormat="1" ht="33" customHeight="1">
      <c r="B381" s="126"/>
      <c r="C381" s="127" t="s">
        <v>941</v>
      </c>
      <c r="D381" s="127" t="s">
        <v>144</v>
      </c>
      <c r="E381" s="128" t="s">
        <v>942</v>
      </c>
      <c r="F381" s="129" t="s">
        <v>943</v>
      </c>
      <c r="G381" s="130" t="s">
        <v>157</v>
      </c>
      <c r="H381" s="131">
        <v>154.10599999999999</v>
      </c>
      <c r="I381" s="132">
        <v>14600</v>
      </c>
      <c r="J381" s="132">
        <f t="shared" ref="J381:J397" si="100">ROUND(I381*H381,2)</f>
        <v>2249947.6</v>
      </c>
      <c r="K381" s="129" t="s">
        <v>1</v>
      </c>
      <c r="L381" s="27"/>
      <c r="M381" s="133" t="s">
        <v>1</v>
      </c>
      <c r="N381" s="134" t="s">
        <v>39</v>
      </c>
      <c r="O381" s="135">
        <v>0</v>
      </c>
      <c r="P381" s="135">
        <f t="shared" ref="P381:P397" si="101">O381*H381</f>
        <v>0</v>
      </c>
      <c r="Q381" s="135">
        <v>0</v>
      </c>
      <c r="R381" s="135">
        <f t="shared" ref="R381:R397" si="102">Q381*H381</f>
        <v>0</v>
      </c>
      <c r="S381" s="135">
        <v>0</v>
      </c>
      <c r="T381" s="136">
        <f t="shared" ref="T381:T397" si="103">S381*H381</f>
        <v>0</v>
      </c>
      <c r="AR381" s="137" t="s">
        <v>206</v>
      </c>
      <c r="AT381" s="137" t="s">
        <v>144</v>
      </c>
      <c r="AU381" s="137" t="s">
        <v>143</v>
      </c>
      <c r="AY381" s="15" t="s">
        <v>141</v>
      </c>
      <c r="BE381" s="138">
        <f t="shared" ref="BE381:BE397" si="104">IF(N381="základní",J381,0)</f>
        <v>0</v>
      </c>
      <c r="BF381" s="138">
        <f t="shared" ref="BF381:BF397" si="105">IF(N381="snížená",J381,0)</f>
        <v>2249947.6</v>
      </c>
      <c r="BG381" s="138">
        <f t="shared" ref="BG381:BG397" si="106">IF(N381="zákl. přenesená",J381,0)</f>
        <v>0</v>
      </c>
      <c r="BH381" s="138">
        <f t="shared" ref="BH381:BH397" si="107">IF(N381="sníž. přenesená",J381,0)</f>
        <v>0</v>
      </c>
      <c r="BI381" s="138">
        <f t="shared" ref="BI381:BI397" si="108">IF(N381="nulová",J381,0)</f>
        <v>0</v>
      </c>
      <c r="BJ381" s="15" t="s">
        <v>143</v>
      </c>
      <c r="BK381" s="138">
        <f t="shared" ref="BK381:BK397" si="109">ROUND(I381*H381,2)</f>
        <v>2249947.6</v>
      </c>
      <c r="BL381" s="15" t="s">
        <v>206</v>
      </c>
      <c r="BM381" s="137" t="s">
        <v>944</v>
      </c>
    </row>
    <row r="382" spans="2:65" s="1" customFormat="1" ht="21.75" customHeight="1">
      <c r="B382" s="126"/>
      <c r="C382" s="127" t="s">
        <v>945</v>
      </c>
      <c r="D382" s="127" t="s">
        <v>144</v>
      </c>
      <c r="E382" s="128" t="s">
        <v>946</v>
      </c>
      <c r="F382" s="129" t="s">
        <v>947</v>
      </c>
      <c r="G382" s="130" t="s">
        <v>157</v>
      </c>
      <c r="H382" s="131">
        <v>36.695999999999998</v>
      </c>
      <c r="I382" s="132">
        <v>16200</v>
      </c>
      <c r="J382" s="132">
        <f t="shared" si="100"/>
        <v>594475.19999999995</v>
      </c>
      <c r="K382" s="129" t="s">
        <v>1</v>
      </c>
      <c r="L382" s="27"/>
      <c r="M382" s="133" t="s">
        <v>1</v>
      </c>
      <c r="N382" s="134" t="s">
        <v>39</v>
      </c>
      <c r="O382" s="135">
        <v>0</v>
      </c>
      <c r="P382" s="135">
        <f t="shared" si="101"/>
        <v>0</v>
      </c>
      <c r="Q382" s="135">
        <v>0</v>
      </c>
      <c r="R382" s="135">
        <f t="shared" si="102"/>
        <v>0</v>
      </c>
      <c r="S382" s="135">
        <v>0</v>
      </c>
      <c r="T382" s="136">
        <f t="shared" si="103"/>
        <v>0</v>
      </c>
      <c r="AR382" s="137" t="s">
        <v>206</v>
      </c>
      <c r="AT382" s="137" t="s">
        <v>144</v>
      </c>
      <c r="AU382" s="137" t="s">
        <v>143</v>
      </c>
      <c r="AY382" s="15" t="s">
        <v>141</v>
      </c>
      <c r="BE382" s="138">
        <f t="shared" si="104"/>
        <v>0</v>
      </c>
      <c r="BF382" s="138">
        <f t="shared" si="105"/>
        <v>594475.19999999995</v>
      </c>
      <c r="BG382" s="138">
        <f t="shared" si="106"/>
        <v>0</v>
      </c>
      <c r="BH382" s="138">
        <f t="shared" si="107"/>
        <v>0</v>
      </c>
      <c r="BI382" s="138">
        <f t="shared" si="108"/>
        <v>0</v>
      </c>
      <c r="BJ382" s="15" t="s">
        <v>143</v>
      </c>
      <c r="BK382" s="138">
        <f t="shared" si="109"/>
        <v>594475.19999999995</v>
      </c>
      <c r="BL382" s="15" t="s">
        <v>206</v>
      </c>
      <c r="BM382" s="137" t="s">
        <v>948</v>
      </c>
    </row>
    <row r="383" spans="2:65" s="1" customFormat="1" ht="16.5" customHeight="1">
      <c r="B383" s="126"/>
      <c r="C383" s="127" t="s">
        <v>949</v>
      </c>
      <c r="D383" s="127" t="s">
        <v>144</v>
      </c>
      <c r="E383" s="128" t="s">
        <v>950</v>
      </c>
      <c r="F383" s="129" t="s">
        <v>951</v>
      </c>
      <c r="G383" s="130" t="s">
        <v>450</v>
      </c>
      <c r="H383" s="131">
        <v>0</v>
      </c>
      <c r="I383" s="132">
        <v>96000</v>
      </c>
      <c r="J383" s="132">
        <f t="shared" si="100"/>
        <v>0</v>
      </c>
      <c r="K383" s="129" t="s">
        <v>1</v>
      </c>
      <c r="L383" s="27"/>
      <c r="M383" s="133" t="s">
        <v>1</v>
      </c>
      <c r="N383" s="134" t="s">
        <v>39</v>
      </c>
      <c r="O383" s="135">
        <v>0</v>
      </c>
      <c r="P383" s="135">
        <f t="shared" si="101"/>
        <v>0</v>
      </c>
      <c r="Q383" s="135">
        <v>0</v>
      </c>
      <c r="R383" s="135">
        <f t="shared" si="102"/>
        <v>0</v>
      </c>
      <c r="S383" s="135">
        <v>0</v>
      </c>
      <c r="T383" s="136">
        <f t="shared" si="103"/>
        <v>0</v>
      </c>
      <c r="AR383" s="137" t="s">
        <v>206</v>
      </c>
      <c r="AT383" s="137" t="s">
        <v>144</v>
      </c>
      <c r="AU383" s="137" t="s">
        <v>143</v>
      </c>
      <c r="AY383" s="15" t="s">
        <v>141</v>
      </c>
      <c r="BE383" s="138">
        <f t="shared" si="104"/>
        <v>0</v>
      </c>
      <c r="BF383" s="138">
        <f t="shared" si="105"/>
        <v>0</v>
      </c>
      <c r="BG383" s="138">
        <f t="shared" si="106"/>
        <v>0</v>
      </c>
      <c r="BH383" s="138">
        <f t="shared" si="107"/>
        <v>0</v>
      </c>
      <c r="BI383" s="138">
        <f t="shared" si="108"/>
        <v>0</v>
      </c>
      <c r="BJ383" s="15" t="s">
        <v>143</v>
      </c>
      <c r="BK383" s="138">
        <f t="shared" si="109"/>
        <v>0</v>
      </c>
      <c r="BL383" s="15" t="s">
        <v>206</v>
      </c>
      <c r="BM383" s="137" t="s">
        <v>952</v>
      </c>
    </row>
    <row r="384" spans="2:65" s="1" customFormat="1" ht="16.5" customHeight="1">
      <c r="B384" s="126"/>
      <c r="C384" s="127" t="s">
        <v>953</v>
      </c>
      <c r="D384" s="127" t="s">
        <v>144</v>
      </c>
      <c r="E384" s="128" t="s">
        <v>954</v>
      </c>
      <c r="F384" s="129" t="s">
        <v>955</v>
      </c>
      <c r="G384" s="130" t="s">
        <v>157</v>
      </c>
      <c r="H384" s="131">
        <v>71.632999999999996</v>
      </c>
      <c r="I384" s="132">
        <v>4300</v>
      </c>
      <c r="J384" s="132">
        <f t="shared" si="100"/>
        <v>308021.90000000002</v>
      </c>
      <c r="K384" s="129" t="s">
        <v>1</v>
      </c>
      <c r="L384" s="27"/>
      <c r="M384" s="133" t="s">
        <v>1</v>
      </c>
      <c r="N384" s="134" t="s">
        <v>39</v>
      </c>
      <c r="O384" s="135">
        <v>0</v>
      </c>
      <c r="P384" s="135">
        <f t="shared" si="101"/>
        <v>0</v>
      </c>
      <c r="Q384" s="135">
        <v>0</v>
      </c>
      <c r="R384" s="135">
        <f t="shared" si="102"/>
        <v>0</v>
      </c>
      <c r="S384" s="135">
        <v>0</v>
      </c>
      <c r="T384" s="136">
        <f t="shared" si="103"/>
        <v>0</v>
      </c>
      <c r="AR384" s="137" t="s">
        <v>206</v>
      </c>
      <c r="AT384" s="137" t="s">
        <v>144</v>
      </c>
      <c r="AU384" s="137" t="s">
        <v>143</v>
      </c>
      <c r="AY384" s="15" t="s">
        <v>141</v>
      </c>
      <c r="BE384" s="138">
        <f t="shared" si="104"/>
        <v>0</v>
      </c>
      <c r="BF384" s="138">
        <f t="shared" si="105"/>
        <v>308021.90000000002</v>
      </c>
      <c r="BG384" s="138">
        <f t="shared" si="106"/>
        <v>0</v>
      </c>
      <c r="BH384" s="138">
        <f t="shared" si="107"/>
        <v>0</v>
      </c>
      <c r="BI384" s="138">
        <f t="shared" si="108"/>
        <v>0</v>
      </c>
      <c r="BJ384" s="15" t="s">
        <v>143</v>
      </c>
      <c r="BK384" s="138">
        <f t="shared" si="109"/>
        <v>308021.90000000002</v>
      </c>
      <c r="BL384" s="15" t="s">
        <v>206</v>
      </c>
      <c r="BM384" s="137" t="s">
        <v>956</v>
      </c>
    </row>
    <row r="385" spans="2:65" s="1" customFormat="1" ht="16.5" customHeight="1">
      <c r="B385" s="126"/>
      <c r="C385" s="127" t="s">
        <v>957</v>
      </c>
      <c r="D385" s="127" t="s">
        <v>144</v>
      </c>
      <c r="E385" s="128" t="s">
        <v>958</v>
      </c>
      <c r="F385" s="129" t="s">
        <v>959</v>
      </c>
      <c r="G385" s="130" t="s">
        <v>429</v>
      </c>
      <c r="H385" s="131">
        <v>0</v>
      </c>
      <c r="I385" s="132">
        <v>1150000</v>
      </c>
      <c r="J385" s="132">
        <f t="shared" si="100"/>
        <v>0</v>
      </c>
      <c r="K385" s="129" t="s">
        <v>1</v>
      </c>
      <c r="L385" s="27"/>
      <c r="M385" s="133" t="s">
        <v>1</v>
      </c>
      <c r="N385" s="134" t="s">
        <v>39</v>
      </c>
      <c r="O385" s="135">
        <v>0</v>
      </c>
      <c r="P385" s="135">
        <f t="shared" si="101"/>
        <v>0</v>
      </c>
      <c r="Q385" s="135">
        <v>0</v>
      </c>
      <c r="R385" s="135">
        <f t="shared" si="102"/>
        <v>0</v>
      </c>
      <c r="S385" s="135">
        <v>0</v>
      </c>
      <c r="T385" s="136">
        <f t="shared" si="103"/>
        <v>0</v>
      </c>
      <c r="AR385" s="137" t="s">
        <v>206</v>
      </c>
      <c r="AT385" s="137" t="s">
        <v>144</v>
      </c>
      <c r="AU385" s="137" t="s">
        <v>143</v>
      </c>
      <c r="AY385" s="15" t="s">
        <v>141</v>
      </c>
      <c r="BE385" s="138">
        <f t="shared" si="104"/>
        <v>0</v>
      </c>
      <c r="BF385" s="138">
        <f t="shared" si="105"/>
        <v>0</v>
      </c>
      <c r="BG385" s="138">
        <f t="shared" si="106"/>
        <v>0</v>
      </c>
      <c r="BH385" s="138">
        <f t="shared" si="107"/>
        <v>0</v>
      </c>
      <c r="BI385" s="138">
        <f t="shared" si="108"/>
        <v>0</v>
      </c>
      <c r="BJ385" s="15" t="s">
        <v>143</v>
      </c>
      <c r="BK385" s="138">
        <f t="shared" si="109"/>
        <v>0</v>
      </c>
      <c r="BL385" s="15" t="s">
        <v>206</v>
      </c>
      <c r="BM385" s="137" t="s">
        <v>960</v>
      </c>
    </row>
    <row r="386" spans="2:65" s="1" customFormat="1" ht="16.5" customHeight="1">
      <c r="B386" s="126"/>
      <c r="C386" s="127" t="s">
        <v>961</v>
      </c>
      <c r="D386" s="127" t="s">
        <v>144</v>
      </c>
      <c r="E386" s="128" t="s">
        <v>962</v>
      </c>
      <c r="F386" s="129" t="s">
        <v>963</v>
      </c>
      <c r="G386" s="130" t="s">
        <v>964</v>
      </c>
      <c r="H386" s="131">
        <v>695.66399999999999</v>
      </c>
      <c r="I386" s="132">
        <v>86</v>
      </c>
      <c r="J386" s="132">
        <f t="shared" si="100"/>
        <v>59827.1</v>
      </c>
      <c r="K386" s="129" t="s">
        <v>1</v>
      </c>
      <c r="L386" s="27"/>
      <c r="M386" s="133" t="s">
        <v>1</v>
      </c>
      <c r="N386" s="134" t="s">
        <v>39</v>
      </c>
      <c r="O386" s="135">
        <v>0</v>
      </c>
      <c r="P386" s="135">
        <f t="shared" si="101"/>
        <v>0</v>
      </c>
      <c r="Q386" s="135">
        <v>0</v>
      </c>
      <c r="R386" s="135">
        <f t="shared" si="102"/>
        <v>0</v>
      </c>
      <c r="S386" s="135">
        <v>0</v>
      </c>
      <c r="T386" s="136">
        <f t="shared" si="103"/>
        <v>0</v>
      </c>
      <c r="AR386" s="137" t="s">
        <v>206</v>
      </c>
      <c r="AT386" s="137" t="s">
        <v>144</v>
      </c>
      <c r="AU386" s="137" t="s">
        <v>143</v>
      </c>
      <c r="AY386" s="15" t="s">
        <v>141</v>
      </c>
      <c r="BE386" s="138">
        <f t="shared" si="104"/>
        <v>0</v>
      </c>
      <c r="BF386" s="138">
        <f t="shared" si="105"/>
        <v>59827.1</v>
      </c>
      <c r="BG386" s="138">
        <f t="shared" si="106"/>
        <v>0</v>
      </c>
      <c r="BH386" s="138">
        <f t="shared" si="107"/>
        <v>0</v>
      </c>
      <c r="BI386" s="138">
        <f t="shared" si="108"/>
        <v>0</v>
      </c>
      <c r="BJ386" s="15" t="s">
        <v>143</v>
      </c>
      <c r="BK386" s="138">
        <f t="shared" si="109"/>
        <v>59827.1</v>
      </c>
      <c r="BL386" s="15" t="s">
        <v>206</v>
      </c>
      <c r="BM386" s="137" t="s">
        <v>965</v>
      </c>
    </row>
    <row r="387" spans="2:65" s="1" customFormat="1" ht="16.5" customHeight="1">
      <c r="B387" s="126"/>
      <c r="C387" s="127" t="s">
        <v>966</v>
      </c>
      <c r="D387" s="127" t="s">
        <v>144</v>
      </c>
      <c r="E387" s="128" t="s">
        <v>967</v>
      </c>
      <c r="F387" s="129" t="s">
        <v>968</v>
      </c>
      <c r="G387" s="130" t="s">
        <v>964</v>
      </c>
      <c r="H387" s="131">
        <v>11236.944</v>
      </c>
      <c r="I387" s="132">
        <v>74</v>
      </c>
      <c r="J387" s="132">
        <f t="shared" si="100"/>
        <v>831533.86</v>
      </c>
      <c r="K387" s="129" t="s">
        <v>1</v>
      </c>
      <c r="L387" s="27"/>
      <c r="M387" s="133" t="s">
        <v>1</v>
      </c>
      <c r="N387" s="134" t="s">
        <v>39</v>
      </c>
      <c r="O387" s="135">
        <v>0</v>
      </c>
      <c r="P387" s="135">
        <f t="shared" si="101"/>
        <v>0</v>
      </c>
      <c r="Q387" s="135">
        <v>0</v>
      </c>
      <c r="R387" s="135">
        <f t="shared" si="102"/>
        <v>0</v>
      </c>
      <c r="S387" s="135">
        <v>0</v>
      </c>
      <c r="T387" s="136">
        <f t="shared" si="103"/>
        <v>0</v>
      </c>
      <c r="AR387" s="137" t="s">
        <v>206</v>
      </c>
      <c r="AT387" s="137" t="s">
        <v>144</v>
      </c>
      <c r="AU387" s="137" t="s">
        <v>143</v>
      </c>
      <c r="AY387" s="15" t="s">
        <v>141</v>
      </c>
      <c r="BE387" s="138">
        <f t="shared" si="104"/>
        <v>0</v>
      </c>
      <c r="BF387" s="138">
        <f t="shared" si="105"/>
        <v>831533.86</v>
      </c>
      <c r="BG387" s="138">
        <f t="shared" si="106"/>
        <v>0</v>
      </c>
      <c r="BH387" s="138">
        <f t="shared" si="107"/>
        <v>0</v>
      </c>
      <c r="BI387" s="138">
        <f t="shared" si="108"/>
        <v>0</v>
      </c>
      <c r="BJ387" s="15" t="s">
        <v>143</v>
      </c>
      <c r="BK387" s="138">
        <f t="shared" si="109"/>
        <v>831533.86</v>
      </c>
      <c r="BL387" s="15" t="s">
        <v>206</v>
      </c>
      <c r="BM387" s="137" t="s">
        <v>969</v>
      </c>
    </row>
    <row r="388" spans="2:65" s="1" customFormat="1" ht="24.2" customHeight="1">
      <c r="B388" s="126"/>
      <c r="C388" s="127" t="s">
        <v>970</v>
      </c>
      <c r="D388" s="127" t="s">
        <v>144</v>
      </c>
      <c r="E388" s="128" t="s">
        <v>971</v>
      </c>
      <c r="F388" s="129" t="s">
        <v>972</v>
      </c>
      <c r="G388" s="130" t="s">
        <v>450</v>
      </c>
      <c r="H388" s="131">
        <v>0</v>
      </c>
      <c r="I388" s="132">
        <v>68000</v>
      </c>
      <c r="J388" s="132">
        <f t="shared" si="100"/>
        <v>0</v>
      </c>
      <c r="K388" s="129" t="s">
        <v>1</v>
      </c>
      <c r="L388" s="27"/>
      <c r="M388" s="133" t="s">
        <v>1</v>
      </c>
      <c r="N388" s="134" t="s">
        <v>39</v>
      </c>
      <c r="O388" s="135">
        <v>0</v>
      </c>
      <c r="P388" s="135">
        <f t="shared" si="101"/>
        <v>0</v>
      </c>
      <c r="Q388" s="135">
        <v>0</v>
      </c>
      <c r="R388" s="135">
        <f t="shared" si="102"/>
        <v>0</v>
      </c>
      <c r="S388" s="135">
        <v>0</v>
      </c>
      <c r="T388" s="136">
        <f t="shared" si="103"/>
        <v>0</v>
      </c>
      <c r="AR388" s="137" t="s">
        <v>206</v>
      </c>
      <c r="AT388" s="137" t="s">
        <v>144</v>
      </c>
      <c r="AU388" s="137" t="s">
        <v>143</v>
      </c>
      <c r="AY388" s="15" t="s">
        <v>141</v>
      </c>
      <c r="BE388" s="138">
        <f t="shared" si="104"/>
        <v>0</v>
      </c>
      <c r="BF388" s="138">
        <f t="shared" si="105"/>
        <v>0</v>
      </c>
      <c r="BG388" s="138">
        <f t="shared" si="106"/>
        <v>0</v>
      </c>
      <c r="BH388" s="138">
        <f t="shared" si="107"/>
        <v>0</v>
      </c>
      <c r="BI388" s="138">
        <f t="shared" si="108"/>
        <v>0</v>
      </c>
      <c r="BJ388" s="15" t="s">
        <v>143</v>
      </c>
      <c r="BK388" s="138">
        <f t="shared" si="109"/>
        <v>0</v>
      </c>
      <c r="BL388" s="15" t="s">
        <v>206</v>
      </c>
      <c r="BM388" s="137" t="s">
        <v>973</v>
      </c>
    </row>
    <row r="389" spans="2:65" s="1" customFormat="1" ht="24.2" customHeight="1">
      <c r="B389" s="126"/>
      <c r="C389" s="127" t="s">
        <v>974</v>
      </c>
      <c r="D389" s="127" t="s">
        <v>144</v>
      </c>
      <c r="E389" s="128" t="s">
        <v>975</v>
      </c>
      <c r="F389" s="129" t="s">
        <v>976</v>
      </c>
      <c r="G389" s="130" t="s">
        <v>450</v>
      </c>
      <c r="H389" s="131">
        <v>0</v>
      </c>
      <c r="I389" s="132">
        <v>4800</v>
      </c>
      <c r="J389" s="132">
        <f t="shared" si="100"/>
        <v>0</v>
      </c>
      <c r="K389" s="129" t="s">
        <v>1</v>
      </c>
      <c r="L389" s="27"/>
      <c r="M389" s="133" t="s">
        <v>1</v>
      </c>
      <c r="N389" s="134" t="s">
        <v>39</v>
      </c>
      <c r="O389" s="135">
        <v>0</v>
      </c>
      <c r="P389" s="135">
        <f t="shared" si="101"/>
        <v>0</v>
      </c>
      <c r="Q389" s="135">
        <v>0</v>
      </c>
      <c r="R389" s="135">
        <f t="shared" si="102"/>
        <v>0</v>
      </c>
      <c r="S389" s="135">
        <v>0</v>
      </c>
      <c r="T389" s="136">
        <f t="shared" si="103"/>
        <v>0</v>
      </c>
      <c r="AR389" s="137" t="s">
        <v>206</v>
      </c>
      <c r="AT389" s="137" t="s">
        <v>144</v>
      </c>
      <c r="AU389" s="137" t="s">
        <v>143</v>
      </c>
      <c r="AY389" s="15" t="s">
        <v>141</v>
      </c>
      <c r="BE389" s="138">
        <f t="shared" si="104"/>
        <v>0</v>
      </c>
      <c r="BF389" s="138">
        <f t="shared" si="105"/>
        <v>0</v>
      </c>
      <c r="BG389" s="138">
        <f t="shared" si="106"/>
        <v>0</v>
      </c>
      <c r="BH389" s="138">
        <f t="shared" si="107"/>
        <v>0</v>
      </c>
      <c r="BI389" s="138">
        <f t="shared" si="108"/>
        <v>0</v>
      </c>
      <c r="BJ389" s="15" t="s">
        <v>143</v>
      </c>
      <c r="BK389" s="138">
        <f t="shared" si="109"/>
        <v>0</v>
      </c>
      <c r="BL389" s="15" t="s">
        <v>206</v>
      </c>
      <c r="BM389" s="137" t="s">
        <v>977</v>
      </c>
    </row>
    <row r="390" spans="2:65" s="1" customFormat="1" ht="24.2" customHeight="1">
      <c r="B390" s="126"/>
      <c r="C390" s="127" t="s">
        <v>978</v>
      </c>
      <c r="D390" s="127" t="s">
        <v>144</v>
      </c>
      <c r="E390" s="128" t="s">
        <v>979</v>
      </c>
      <c r="F390" s="129" t="s">
        <v>980</v>
      </c>
      <c r="G390" s="130" t="s">
        <v>450</v>
      </c>
      <c r="H390" s="131">
        <v>0</v>
      </c>
      <c r="I390" s="132">
        <v>28000</v>
      </c>
      <c r="J390" s="132">
        <f t="shared" si="100"/>
        <v>0</v>
      </c>
      <c r="K390" s="129" t="s">
        <v>1</v>
      </c>
      <c r="L390" s="27"/>
      <c r="M390" s="133" t="s">
        <v>1</v>
      </c>
      <c r="N390" s="134" t="s">
        <v>39</v>
      </c>
      <c r="O390" s="135">
        <v>0</v>
      </c>
      <c r="P390" s="135">
        <f t="shared" si="101"/>
        <v>0</v>
      </c>
      <c r="Q390" s="135">
        <v>0</v>
      </c>
      <c r="R390" s="135">
        <f t="shared" si="102"/>
        <v>0</v>
      </c>
      <c r="S390" s="135">
        <v>0</v>
      </c>
      <c r="T390" s="136">
        <f t="shared" si="103"/>
        <v>0</v>
      </c>
      <c r="AR390" s="137" t="s">
        <v>206</v>
      </c>
      <c r="AT390" s="137" t="s">
        <v>144</v>
      </c>
      <c r="AU390" s="137" t="s">
        <v>143</v>
      </c>
      <c r="AY390" s="15" t="s">
        <v>141</v>
      </c>
      <c r="BE390" s="138">
        <f t="shared" si="104"/>
        <v>0</v>
      </c>
      <c r="BF390" s="138">
        <f t="shared" si="105"/>
        <v>0</v>
      </c>
      <c r="BG390" s="138">
        <f t="shared" si="106"/>
        <v>0</v>
      </c>
      <c r="BH390" s="138">
        <f t="shared" si="107"/>
        <v>0</v>
      </c>
      <c r="BI390" s="138">
        <f t="shared" si="108"/>
        <v>0</v>
      </c>
      <c r="BJ390" s="15" t="s">
        <v>143</v>
      </c>
      <c r="BK390" s="138">
        <f t="shared" si="109"/>
        <v>0</v>
      </c>
      <c r="BL390" s="15" t="s">
        <v>206</v>
      </c>
      <c r="BM390" s="137" t="s">
        <v>981</v>
      </c>
    </row>
    <row r="391" spans="2:65" s="1" customFormat="1" ht="24.2" customHeight="1">
      <c r="B391" s="126"/>
      <c r="C391" s="127" t="s">
        <v>982</v>
      </c>
      <c r="D391" s="127" t="s">
        <v>144</v>
      </c>
      <c r="E391" s="128" t="s">
        <v>983</v>
      </c>
      <c r="F391" s="129" t="s">
        <v>984</v>
      </c>
      <c r="G391" s="130" t="s">
        <v>450</v>
      </c>
      <c r="H391" s="131">
        <v>0</v>
      </c>
      <c r="I391" s="132">
        <v>8400</v>
      </c>
      <c r="J391" s="132">
        <f t="shared" si="100"/>
        <v>0</v>
      </c>
      <c r="K391" s="129" t="s">
        <v>1</v>
      </c>
      <c r="L391" s="27"/>
      <c r="M391" s="133" t="s">
        <v>1</v>
      </c>
      <c r="N391" s="134" t="s">
        <v>39</v>
      </c>
      <c r="O391" s="135">
        <v>0</v>
      </c>
      <c r="P391" s="135">
        <f t="shared" si="101"/>
        <v>0</v>
      </c>
      <c r="Q391" s="135">
        <v>0</v>
      </c>
      <c r="R391" s="135">
        <f t="shared" si="102"/>
        <v>0</v>
      </c>
      <c r="S391" s="135">
        <v>0</v>
      </c>
      <c r="T391" s="136">
        <f t="shared" si="103"/>
        <v>0</v>
      </c>
      <c r="AR391" s="137" t="s">
        <v>206</v>
      </c>
      <c r="AT391" s="137" t="s">
        <v>144</v>
      </c>
      <c r="AU391" s="137" t="s">
        <v>143</v>
      </c>
      <c r="AY391" s="15" t="s">
        <v>141</v>
      </c>
      <c r="BE391" s="138">
        <f t="shared" si="104"/>
        <v>0</v>
      </c>
      <c r="BF391" s="138">
        <f t="shared" si="105"/>
        <v>0</v>
      </c>
      <c r="BG391" s="138">
        <f t="shared" si="106"/>
        <v>0</v>
      </c>
      <c r="BH391" s="138">
        <f t="shared" si="107"/>
        <v>0</v>
      </c>
      <c r="BI391" s="138">
        <f t="shared" si="108"/>
        <v>0</v>
      </c>
      <c r="BJ391" s="15" t="s">
        <v>143</v>
      </c>
      <c r="BK391" s="138">
        <f t="shared" si="109"/>
        <v>0</v>
      </c>
      <c r="BL391" s="15" t="s">
        <v>206</v>
      </c>
      <c r="BM391" s="137" t="s">
        <v>985</v>
      </c>
    </row>
    <row r="392" spans="2:65" s="1" customFormat="1" ht="21.75" customHeight="1">
      <c r="B392" s="126"/>
      <c r="C392" s="127" t="s">
        <v>987</v>
      </c>
      <c r="D392" s="127" t="s">
        <v>144</v>
      </c>
      <c r="E392" s="128" t="s">
        <v>988</v>
      </c>
      <c r="F392" s="129" t="s">
        <v>989</v>
      </c>
      <c r="G392" s="130" t="s">
        <v>450</v>
      </c>
      <c r="H392" s="131">
        <v>1</v>
      </c>
      <c r="I392" s="132">
        <v>11800</v>
      </c>
      <c r="J392" s="132">
        <f t="shared" si="100"/>
        <v>11800</v>
      </c>
      <c r="K392" s="129" t="s">
        <v>1</v>
      </c>
      <c r="L392" s="27"/>
      <c r="M392" s="133" t="s">
        <v>1</v>
      </c>
      <c r="N392" s="134" t="s">
        <v>39</v>
      </c>
      <c r="O392" s="135">
        <v>0</v>
      </c>
      <c r="P392" s="135">
        <f t="shared" si="101"/>
        <v>0</v>
      </c>
      <c r="Q392" s="135">
        <v>0</v>
      </c>
      <c r="R392" s="135">
        <f t="shared" si="102"/>
        <v>0</v>
      </c>
      <c r="S392" s="135">
        <v>0</v>
      </c>
      <c r="T392" s="136">
        <f t="shared" si="103"/>
        <v>0</v>
      </c>
      <c r="AR392" s="137" t="s">
        <v>206</v>
      </c>
      <c r="AT392" s="137" t="s">
        <v>144</v>
      </c>
      <c r="AU392" s="137" t="s">
        <v>143</v>
      </c>
      <c r="AY392" s="15" t="s">
        <v>141</v>
      </c>
      <c r="BE392" s="138">
        <f t="shared" si="104"/>
        <v>0</v>
      </c>
      <c r="BF392" s="138">
        <f t="shared" si="105"/>
        <v>11800</v>
      </c>
      <c r="BG392" s="138">
        <f t="shared" si="106"/>
        <v>0</v>
      </c>
      <c r="BH392" s="138">
        <f t="shared" si="107"/>
        <v>0</v>
      </c>
      <c r="BI392" s="138">
        <f t="shared" si="108"/>
        <v>0</v>
      </c>
      <c r="BJ392" s="15" t="s">
        <v>143</v>
      </c>
      <c r="BK392" s="138">
        <f t="shared" si="109"/>
        <v>11800</v>
      </c>
      <c r="BL392" s="15" t="s">
        <v>206</v>
      </c>
      <c r="BM392" s="137" t="s">
        <v>990</v>
      </c>
    </row>
    <row r="393" spans="2:65" s="1" customFormat="1" ht="24.2" customHeight="1">
      <c r="B393" s="126"/>
      <c r="C393" s="127" t="s">
        <v>991</v>
      </c>
      <c r="D393" s="127" t="s">
        <v>144</v>
      </c>
      <c r="E393" s="128" t="s">
        <v>992</v>
      </c>
      <c r="F393" s="129" t="s">
        <v>993</v>
      </c>
      <c r="G393" s="130" t="s">
        <v>157</v>
      </c>
      <c r="H393" s="131">
        <v>12.523999999999999</v>
      </c>
      <c r="I393" s="132">
        <v>2900</v>
      </c>
      <c r="J393" s="132">
        <f t="shared" si="100"/>
        <v>36319.599999999999</v>
      </c>
      <c r="K393" s="129" t="s">
        <v>1</v>
      </c>
      <c r="L393" s="27"/>
      <c r="M393" s="133" t="s">
        <v>1</v>
      </c>
      <c r="N393" s="134" t="s">
        <v>39</v>
      </c>
      <c r="O393" s="135">
        <v>0</v>
      </c>
      <c r="P393" s="135">
        <f t="shared" si="101"/>
        <v>0</v>
      </c>
      <c r="Q393" s="135">
        <v>0</v>
      </c>
      <c r="R393" s="135">
        <f t="shared" si="102"/>
        <v>0</v>
      </c>
      <c r="S393" s="135">
        <v>0</v>
      </c>
      <c r="T393" s="136">
        <f t="shared" si="103"/>
        <v>0</v>
      </c>
      <c r="AR393" s="137" t="s">
        <v>206</v>
      </c>
      <c r="AT393" s="137" t="s">
        <v>144</v>
      </c>
      <c r="AU393" s="137" t="s">
        <v>143</v>
      </c>
      <c r="AY393" s="15" t="s">
        <v>141</v>
      </c>
      <c r="BE393" s="138">
        <f t="shared" si="104"/>
        <v>0</v>
      </c>
      <c r="BF393" s="138">
        <f t="shared" si="105"/>
        <v>36319.599999999999</v>
      </c>
      <c r="BG393" s="138">
        <f t="shared" si="106"/>
        <v>0</v>
      </c>
      <c r="BH393" s="138">
        <f t="shared" si="107"/>
        <v>0</v>
      </c>
      <c r="BI393" s="138">
        <f t="shared" si="108"/>
        <v>0</v>
      </c>
      <c r="BJ393" s="15" t="s">
        <v>143</v>
      </c>
      <c r="BK393" s="138">
        <f t="shared" si="109"/>
        <v>36319.599999999999</v>
      </c>
      <c r="BL393" s="15" t="s">
        <v>206</v>
      </c>
      <c r="BM393" s="137" t="s">
        <v>994</v>
      </c>
    </row>
    <row r="394" spans="2:65" s="1" customFormat="1" ht="24.2" customHeight="1">
      <c r="B394" s="126"/>
      <c r="C394" s="127" t="s">
        <v>995</v>
      </c>
      <c r="D394" s="127" t="s">
        <v>144</v>
      </c>
      <c r="E394" s="128" t="s">
        <v>996</v>
      </c>
      <c r="F394" s="129" t="s">
        <v>997</v>
      </c>
      <c r="G394" s="130" t="s">
        <v>450</v>
      </c>
      <c r="H394" s="131">
        <v>0</v>
      </c>
      <c r="I394" s="132">
        <v>89600</v>
      </c>
      <c r="J394" s="132">
        <f t="shared" si="100"/>
        <v>0</v>
      </c>
      <c r="K394" s="129" t="s">
        <v>1</v>
      </c>
      <c r="L394" s="27"/>
      <c r="M394" s="133" t="s">
        <v>1</v>
      </c>
      <c r="N394" s="134" t="s">
        <v>39</v>
      </c>
      <c r="O394" s="135">
        <v>0</v>
      </c>
      <c r="P394" s="135">
        <f t="shared" si="101"/>
        <v>0</v>
      </c>
      <c r="Q394" s="135">
        <v>0</v>
      </c>
      <c r="R394" s="135">
        <f t="shared" si="102"/>
        <v>0</v>
      </c>
      <c r="S394" s="135">
        <v>0</v>
      </c>
      <c r="T394" s="136">
        <f t="shared" si="103"/>
        <v>0</v>
      </c>
      <c r="AR394" s="137" t="s">
        <v>206</v>
      </c>
      <c r="AT394" s="137" t="s">
        <v>144</v>
      </c>
      <c r="AU394" s="137" t="s">
        <v>143</v>
      </c>
      <c r="AY394" s="15" t="s">
        <v>141</v>
      </c>
      <c r="BE394" s="138">
        <f t="shared" si="104"/>
        <v>0</v>
      </c>
      <c r="BF394" s="138">
        <f t="shared" si="105"/>
        <v>0</v>
      </c>
      <c r="BG394" s="138">
        <f t="shared" si="106"/>
        <v>0</v>
      </c>
      <c r="BH394" s="138">
        <f t="shared" si="107"/>
        <v>0</v>
      </c>
      <c r="BI394" s="138">
        <f t="shared" si="108"/>
        <v>0</v>
      </c>
      <c r="BJ394" s="15" t="s">
        <v>143</v>
      </c>
      <c r="BK394" s="138">
        <f t="shared" si="109"/>
        <v>0</v>
      </c>
      <c r="BL394" s="15" t="s">
        <v>206</v>
      </c>
      <c r="BM394" s="137" t="s">
        <v>998</v>
      </c>
    </row>
    <row r="395" spans="2:65" s="1" customFormat="1" ht="24.2" customHeight="1">
      <c r="B395" s="126"/>
      <c r="C395" s="127" t="s">
        <v>1000</v>
      </c>
      <c r="D395" s="127" t="s">
        <v>144</v>
      </c>
      <c r="E395" s="128" t="s">
        <v>1001</v>
      </c>
      <c r="F395" s="129" t="s">
        <v>1002</v>
      </c>
      <c r="G395" s="130" t="s">
        <v>450</v>
      </c>
      <c r="H395" s="131">
        <v>2</v>
      </c>
      <c r="I395" s="132">
        <v>10800</v>
      </c>
      <c r="J395" s="132">
        <f t="shared" si="100"/>
        <v>21600</v>
      </c>
      <c r="K395" s="129" t="s">
        <v>1</v>
      </c>
      <c r="L395" s="27"/>
      <c r="M395" s="133" t="s">
        <v>1</v>
      </c>
      <c r="N395" s="134" t="s">
        <v>39</v>
      </c>
      <c r="O395" s="135">
        <v>0</v>
      </c>
      <c r="P395" s="135">
        <f t="shared" si="101"/>
        <v>0</v>
      </c>
      <c r="Q395" s="135">
        <v>0</v>
      </c>
      <c r="R395" s="135">
        <f t="shared" si="102"/>
        <v>0</v>
      </c>
      <c r="S395" s="135">
        <v>0</v>
      </c>
      <c r="T395" s="136">
        <f t="shared" si="103"/>
        <v>0</v>
      </c>
      <c r="AR395" s="137" t="s">
        <v>206</v>
      </c>
      <c r="AT395" s="137" t="s">
        <v>144</v>
      </c>
      <c r="AU395" s="137" t="s">
        <v>143</v>
      </c>
      <c r="AY395" s="15" t="s">
        <v>141</v>
      </c>
      <c r="BE395" s="138">
        <f t="shared" si="104"/>
        <v>0</v>
      </c>
      <c r="BF395" s="138">
        <f t="shared" si="105"/>
        <v>21600</v>
      </c>
      <c r="BG395" s="138">
        <f t="shared" si="106"/>
        <v>0</v>
      </c>
      <c r="BH395" s="138">
        <f t="shared" si="107"/>
        <v>0</v>
      </c>
      <c r="BI395" s="138">
        <f t="shared" si="108"/>
        <v>0</v>
      </c>
      <c r="BJ395" s="15" t="s">
        <v>143</v>
      </c>
      <c r="BK395" s="138">
        <f t="shared" si="109"/>
        <v>21600</v>
      </c>
      <c r="BL395" s="15" t="s">
        <v>206</v>
      </c>
      <c r="BM395" s="137" t="s">
        <v>1003</v>
      </c>
    </row>
    <row r="396" spans="2:65" s="1" customFormat="1" ht="37.9" customHeight="1">
      <c r="B396" s="126"/>
      <c r="C396" s="127" t="s">
        <v>1004</v>
      </c>
      <c r="D396" s="127" t="s">
        <v>144</v>
      </c>
      <c r="E396" s="128" t="s">
        <v>1005</v>
      </c>
      <c r="F396" s="129" t="s">
        <v>1006</v>
      </c>
      <c r="G396" s="130" t="s">
        <v>157</v>
      </c>
      <c r="H396" s="131">
        <v>7.7380000000000004</v>
      </c>
      <c r="I396" s="132">
        <v>3700</v>
      </c>
      <c r="J396" s="132">
        <f t="shared" si="100"/>
        <v>28630.6</v>
      </c>
      <c r="K396" s="129" t="s">
        <v>1</v>
      </c>
      <c r="L396" s="27"/>
      <c r="M396" s="133" t="s">
        <v>1</v>
      </c>
      <c r="N396" s="134" t="s">
        <v>39</v>
      </c>
      <c r="O396" s="135">
        <v>0</v>
      </c>
      <c r="P396" s="135">
        <f t="shared" si="101"/>
        <v>0</v>
      </c>
      <c r="Q396" s="135">
        <v>0</v>
      </c>
      <c r="R396" s="135">
        <f t="shared" si="102"/>
        <v>0</v>
      </c>
      <c r="S396" s="135">
        <v>0</v>
      </c>
      <c r="T396" s="136">
        <f t="shared" si="103"/>
        <v>0</v>
      </c>
      <c r="AR396" s="137" t="s">
        <v>206</v>
      </c>
      <c r="AT396" s="137" t="s">
        <v>144</v>
      </c>
      <c r="AU396" s="137" t="s">
        <v>143</v>
      </c>
      <c r="AY396" s="15" t="s">
        <v>141</v>
      </c>
      <c r="BE396" s="138">
        <f t="shared" si="104"/>
        <v>0</v>
      </c>
      <c r="BF396" s="138">
        <f t="shared" si="105"/>
        <v>28630.6</v>
      </c>
      <c r="BG396" s="138">
        <f t="shared" si="106"/>
        <v>0</v>
      </c>
      <c r="BH396" s="138">
        <f t="shared" si="107"/>
        <v>0</v>
      </c>
      <c r="BI396" s="138">
        <f t="shared" si="108"/>
        <v>0</v>
      </c>
      <c r="BJ396" s="15" t="s">
        <v>143</v>
      </c>
      <c r="BK396" s="138">
        <f t="shared" si="109"/>
        <v>28630.6</v>
      </c>
      <c r="BL396" s="15" t="s">
        <v>206</v>
      </c>
      <c r="BM396" s="137" t="s">
        <v>1007</v>
      </c>
    </row>
    <row r="397" spans="2:65" s="1" customFormat="1" ht="24.2" customHeight="1">
      <c r="B397" s="126"/>
      <c r="C397" s="127" t="s">
        <v>1008</v>
      </c>
      <c r="D397" s="127" t="s">
        <v>144</v>
      </c>
      <c r="E397" s="128" t="s">
        <v>1009</v>
      </c>
      <c r="F397" s="129" t="s">
        <v>1010</v>
      </c>
      <c r="G397" s="130" t="s">
        <v>565</v>
      </c>
      <c r="H397" s="131">
        <v>41421.559000000001</v>
      </c>
      <c r="I397" s="132">
        <v>1.79</v>
      </c>
      <c r="J397" s="132">
        <f t="shared" si="100"/>
        <v>74144.59</v>
      </c>
      <c r="K397" s="129" t="s">
        <v>148</v>
      </c>
      <c r="L397" s="27"/>
      <c r="M397" s="133" t="s">
        <v>1</v>
      </c>
      <c r="N397" s="134" t="s">
        <v>39</v>
      </c>
      <c r="O397" s="135">
        <v>0</v>
      </c>
      <c r="P397" s="135">
        <f t="shared" si="101"/>
        <v>0</v>
      </c>
      <c r="Q397" s="135">
        <v>0</v>
      </c>
      <c r="R397" s="135">
        <f t="shared" si="102"/>
        <v>0</v>
      </c>
      <c r="S397" s="135">
        <v>0</v>
      </c>
      <c r="T397" s="136">
        <f t="shared" si="103"/>
        <v>0</v>
      </c>
      <c r="AR397" s="137" t="s">
        <v>206</v>
      </c>
      <c r="AT397" s="137" t="s">
        <v>144</v>
      </c>
      <c r="AU397" s="137" t="s">
        <v>143</v>
      </c>
      <c r="AY397" s="15" t="s">
        <v>141</v>
      </c>
      <c r="BE397" s="138">
        <f t="shared" si="104"/>
        <v>0</v>
      </c>
      <c r="BF397" s="138">
        <f t="shared" si="105"/>
        <v>74144.59</v>
      </c>
      <c r="BG397" s="138">
        <f t="shared" si="106"/>
        <v>0</v>
      </c>
      <c r="BH397" s="138">
        <f t="shared" si="107"/>
        <v>0</v>
      </c>
      <c r="BI397" s="138">
        <f t="shared" si="108"/>
        <v>0</v>
      </c>
      <c r="BJ397" s="15" t="s">
        <v>143</v>
      </c>
      <c r="BK397" s="138">
        <f t="shared" si="109"/>
        <v>74144.59</v>
      </c>
      <c r="BL397" s="15" t="s">
        <v>206</v>
      </c>
      <c r="BM397" s="137" t="s">
        <v>1011</v>
      </c>
    </row>
    <row r="398" spans="2:65" s="11" customFormat="1" ht="22.9" customHeight="1">
      <c r="B398" s="115"/>
      <c r="D398" s="116" t="s">
        <v>72</v>
      </c>
      <c r="E398" s="124" t="s">
        <v>1012</v>
      </c>
      <c r="F398" s="124" t="s">
        <v>1013</v>
      </c>
      <c r="J398" s="125">
        <f>BK398</f>
        <v>27099.66</v>
      </c>
      <c r="L398" s="115"/>
      <c r="M398" s="119"/>
      <c r="P398" s="120">
        <f>SUM(P399:P404)</f>
        <v>16.974990000000002</v>
      </c>
      <c r="R398" s="120">
        <f>SUM(R399:R404)</f>
        <v>0.62102075000000001</v>
      </c>
      <c r="T398" s="121">
        <f>SUM(T399:T404)</f>
        <v>0</v>
      </c>
      <c r="AR398" s="116" t="s">
        <v>143</v>
      </c>
      <c r="AT398" s="122" t="s">
        <v>72</v>
      </c>
      <c r="AU398" s="122" t="s">
        <v>81</v>
      </c>
      <c r="AY398" s="116" t="s">
        <v>141</v>
      </c>
      <c r="BK398" s="123">
        <f>SUM(BK399:BK404)</f>
        <v>27099.66</v>
      </c>
    </row>
    <row r="399" spans="2:65" s="1" customFormat="1" ht="16.5" customHeight="1">
      <c r="B399" s="126"/>
      <c r="C399" s="127" t="s">
        <v>1014</v>
      </c>
      <c r="D399" s="127" t="s">
        <v>144</v>
      </c>
      <c r="E399" s="128" t="s">
        <v>1015</v>
      </c>
      <c r="F399" s="129" t="s">
        <v>1016</v>
      </c>
      <c r="G399" s="130" t="s">
        <v>157</v>
      </c>
      <c r="H399" s="131">
        <v>20.065000000000001</v>
      </c>
      <c r="I399" s="132">
        <v>56.2</v>
      </c>
      <c r="J399" s="132">
        <f>ROUND(I399*H399,2)</f>
        <v>1127.6500000000001</v>
      </c>
      <c r="K399" s="129" t="s">
        <v>148</v>
      </c>
      <c r="L399" s="27"/>
      <c r="M399" s="133" t="s">
        <v>1</v>
      </c>
      <c r="N399" s="134" t="s">
        <v>39</v>
      </c>
      <c r="O399" s="135">
        <v>4.3999999999999997E-2</v>
      </c>
      <c r="P399" s="135">
        <f>O399*H399</f>
        <v>0.88285999999999998</v>
      </c>
      <c r="Q399" s="135">
        <v>2.9999999999999997E-4</v>
      </c>
      <c r="R399" s="135">
        <f>Q399*H399</f>
        <v>6.0194999999999997E-3</v>
      </c>
      <c r="S399" s="135">
        <v>0</v>
      </c>
      <c r="T399" s="136">
        <f>S399*H399</f>
        <v>0</v>
      </c>
      <c r="AR399" s="137" t="s">
        <v>206</v>
      </c>
      <c r="AT399" s="137" t="s">
        <v>144</v>
      </c>
      <c r="AU399" s="137" t="s">
        <v>143</v>
      </c>
      <c r="AY399" s="15" t="s">
        <v>141</v>
      </c>
      <c r="BE399" s="138">
        <f>IF(N399="základní",J399,0)</f>
        <v>0</v>
      </c>
      <c r="BF399" s="138">
        <f>IF(N399="snížená",J399,0)</f>
        <v>1127.6500000000001</v>
      </c>
      <c r="BG399" s="138">
        <f>IF(N399="zákl. přenesená",J399,0)</f>
        <v>0</v>
      </c>
      <c r="BH399" s="138">
        <f>IF(N399="sníž. přenesená",J399,0)</f>
        <v>0</v>
      </c>
      <c r="BI399" s="138">
        <f>IF(N399="nulová",J399,0)</f>
        <v>0</v>
      </c>
      <c r="BJ399" s="15" t="s">
        <v>143</v>
      </c>
      <c r="BK399" s="138">
        <f>ROUND(I399*H399,2)</f>
        <v>1127.6500000000001</v>
      </c>
      <c r="BL399" s="15" t="s">
        <v>206</v>
      </c>
      <c r="BM399" s="137" t="s">
        <v>1017</v>
      </c>
    </row>
    <row r="400" spans="2:65" s="1" customFormat="1" ht="21.75" customHeight="1">
      <c r="B400" s="126"/>
      <c r="C400" s="127" t="s">
        <v>1018</v>
      </c>
      <c r="D400" s="127" t="s">
        <v>144</v>
      </c>
      <c r="E400" s="128" t="s">
        <v>1019</v>
      </c>
      <c r="F400" s="129" t="s">
        <v>1020</v>
      </c>
      <c r="G400" s="130" t="s">
        <v>157</v>
      </c>
      <c r="H400" s="131">
        <v>20.065000000000001</v>
      </c>
      <c r="I400" s="132">
        <v>198</v>
      </c>
      <c r="J400" s="132">
        <f>ROUND(I400*H400,2)</f>
        <v>3972.87</v>
      </c>
      <c r="K400" s="129" t="s">
        <v>148</v>
      </c>
      <c r="L400" s="27"/>
      <c r="M400" s="133" t="s">
        <v>1</v>
      </c>
      <c r="N400" s="134" t="s">
        <v>39</v>
      </c>
      <c r="O400" s="135">
        <v>0.192</v>
      </c>
      <c r="P400" s="135">
        <f>O400*H400</f>
        <v>3.8524800000000003</v>
      </c>
      <c r="Q400" s="135">
        <v>4.5500000000000002E-3</v>
      </c>
      <c r="R400" s="135">
        <f>Q400*H400</f>
        <v>9.1295750000000009E-2</v>
      </c>
      <c r="S400" s="135">
        <v>0</v>
      </c>
      <c r="T400" s="136">
        <f>S400*H400</f>
        <v>0</v>
      </c>
      <c r="AR400" s="137" t="s">
        <v>206</v>
      </c>
      <c r="AT400" s="137" t="s">
        <v>144</v>
      </c>
      <c r="AU400" s="137" t="s">
        <v>143</v>
      </c>
      <c r="AY400" s="15" t="s">
        <v>141</v>
      </c>
      <c r="BE400" s="138">
        <f>IF(N400="základní",J400,0)</f>
        <v>0</v>
      </c>
      <c r="BF400" s="138">
        <f>IF(N400="snížená",J400,0)</f>
        <v>3972.87</v>
      </c>
      <c r="BG400" s="138">
        <f>IF(N400="zákl. přenesená",J400,0)</f>
        <v>0</v>
      </c>
      <c r="BH400" s="138">
        <f>IF(N400="sníž. přenesená",J400,0)</f>
        <v>0</v>
      </c>
      <c r="BI400" s="138">
        <f>IF(N400="nulová",J400,0)</f>
        <v>0</v>
      </c>
      <c r="BJ400" s="15" t="s">
        <v>143</v>
      </c>
      <c r="BK400" s="138">
        <f>ROUND(I400*H400,2)</f>
        <v>3972.87</v>
      </c>
      <c r="BL400" s="15" t="s">
        <v>206</v>
      </c>
      <c r="BM400" s="137" t="s">
        <v>1021</v>
      </c>
    </row>
    <row r="401" spans="2:65" s="1" customFormat="1" ht="24.2" customHeight="1">
      <c r="B401" s="126"/>
      <c r="C401" s="127" t="s">
        <v>1022</v>
      </c>
      <c r="D401" s="127" t="s">
        <v>144</v>
      </c>
      <c r="E401" s="128" t="s">
        <v>1023</v>
      </c>
      <c r="F401" s="129" t="s">
        <v>1024</v>
      </c>
      <c r="G401" s="130" t="s">
        <v>157</v>
      </c>
      <c r="H401" s="131">
        <v>20.065000000000001</v>
      </c>
      <c r="I401" s="132">
        <v>518</v>
      </c>
      <c r="J401" s="132">
        <f>ROUND(I401*H401,2)</f>
        <v>10393.67</v>
      </c>
      <c r="K401" s="129" t="s">
        <v>148</v>
      </c>
      <c r="L401" s="27"/>
      <c r="M401" s="133" t="s">
        <v>1</v>
      </c>
      <c r="N401" s="134" t="s">
        <v>39</v>
      </c>
      <c r="O401" s="135">
        <v>0.61</v>
      </c>
      <c r="P401" s="135">
        <f>O401*H401</f>
        <v>12.239650000000001</v>
      </c>
      <c r="Q401" s="135">
        <v>6.3E-3</v>
      </c>
      <c r="R401" s="135">
        <f>Q401*H401</f>
        <v>0.12640950000000001</v>
      </c>
      <c r="S401" s="135">
        <v>0</v>
      </c>
      <c r="T401" s="136">
        <f>S401*H401</f>
        <v>0</v>
      </c>
      <c r="AR401" s="137" t="s">
        <v>206</v>
      </c>
      <c r="AT401" s="137" t="s">
        <v>144</v>
      </c>
      <c r="AU401" s="137" t="s">
        <v>143</v>
      </c>
      <c r="AY401" s="15" t="s">
        <v>141</v>
      </c>
      <c r="BE401" s="138">
        <f>IF(N401="základní",J401,0)</f>
        <v>0</v>
      </c>
      <c r="BF401" s="138">
        <f>IF(N401="snížená",J401,0)</f>
        <v>10393.67</v>
      </c>
      <c r="BG401" s="138">
        <f>IF(N401="zákl. přenesená",J401,0)</f>
        <v>0</v>
      </c>
      <c r="BH401" s="138">
        <f>IF(N401="sníž. přenesená",J401,0)</f>
        <v>0</v>
      </c>
      <c r="BI401" s="138">
        <f>IF(N401="nulová",J401,0)</f>
        <v>0</v>
      </c>
      <c r="BJ401" s="15" t="s">
        <v>143</v>
      </c>
      <c r="BK401" s="138">
        <f>ROUND(I401*H401,2)</f>
        <v>10393.67</v>
      </c>
      <c r="BL401" s="15" t="s">
        <v>206</v>
      </c>
      <c r="BM401" s="137" t="s">
        <v>1025</v>
      </c>
    </row>
    <row r="402" spans="2:65" s="1" customFormat="1" ht="24.2" customHeight="1">
      <c r="B402" s="126"/>
      <c r="C402" s="139" t="s">
        <v>1026</v>
      </c>
      <c r="D402" s="139" t="s">
        <v>207</v>
      </c>
      <c r="E402" s="140" t="s">
        <v>1027</v>
      </c>
      <c r="F402" s="141" t="s">
        <v>1028</v>
      </c>
      <c r="G402" s="142" t="s">
        <v>157</v>
      </c>
      <c r="H402" s="143">
        <v>22.071999999999999</v>
      </c>
      <c r="I402" s="144">
        <v>450</v>
      </c>
      <c r="J402" s="144">
        <f>ROUND(I402*H402,2)</f>
        <v>9932.4</v>
      </c>
      <c r="K402" s="141" t="s">
        <v>148</v>
      </c>
      <c r="L402" s="145"/>
      <c r="M402" s="146" t="s">
        <v>1</v>
      </c>
      <c r="N402" s="147" t="s">
        <v>39</v>
      </c>
      <c r="O402" s="135">
        <v>0</v>
      </c>
      <c r="P402" s="135">
        <f>O402*H402</f>
        <v>0</v>
      </c>
      <c r="Q402" s="135">
        <v>1.7999999999999999E-2</v>
      </c>
      <c r="R402" s="135">
        <f>Q402*H402</f>
        <v>0.39729599999999998</v>
      </c>
      <c r="S402" s="135">
        <v>0</v>
      </c>
      <c r="T402" s="136">
        <f>S402*H402</f>
        <v>0</v>
      </c>
      <c r="AR402" s="137" t="s">
        <v>274</v>
      </c>
      <c r="AT402" s="137" t="s">
        <v>207</v>
      </c>
      <c r="AU402" s="137" t="s">
        <v>143</v>
      </c>
      <c r="AY402" s="15" t="s">
        <v>141</v>
      </c>
      <c r="BE402" s="138">
        <f>IF(N402="základní",J402,0)</f>
        <v>0</v>
      </c>
      <c r="BF402" s="138">
        <f>IF(N402="snížená",J402,0)</f>
        <v>9932.4</v>
      </c>
      <c r="BG402" s="138">
        <f>IF(N402="zákl. přenesená",J402,0)</f>
        <v>0</v>
      </c>
      <c r="BH402" s="138">
        <f>IF(N402="sníž. přenesená",J402,0)</f>
        <v>0</v>
      </c>
      <c r="BI402" s="138">
        <f>IF(N402="nulová",J402,0)</f>
        <v>0</v>
      </c>
      <c r="BJ402" s="15" t="s">
        <v>143</v>
      </c>
      <c r="BK402" s="138">
        <f>ROUND(I402*H402,2)</f>
        <v>9932.4</v>
      </c>
      <c r="BL402" s="15" t="s">
        <v>206</v>
      </c>
      <c r="BM402" s="137" t="s">
        <v>1029</v>
      </c>
    </row>
    <row r="403" spans="2:65" s="12" customFormat="1">
      <c r="B403" s="148"/>
      <c r="D403" s="149" t="s">
        <v>363</v>
      </c>
      <c r="F403" s="150" t="s">
        <v>1172</v>
      </c>
      <c r="H403" s="151">
        <v>22.071999999999999</v>
      </c>
      <c r="L403" s="148"/>
      <c r="M403" s="152"/>
      <c r="T403" s="153"/>
      <c r="AT403" s="154" t="s">
        <v>363</v>
      </c>
      <c r="AU403" s="154" t="s">
        <v>143</v>
      </c>
      <c r="AV403" s="12" t="s">
        <v>143</v>
      </c>
      <c r="AW403" s="12" t="s">
        <v>3</v>
      </c>
      <c r="AX403" s="12" t="s">
        <v>81</v>
      </c>
      <c r="AY403" s="154" t="s">
        <v>141</v>
      </c>
    </row>
    <row r="404" spans="2:65" s="1" customFormat="1" ht="24.2" customHeight="1">
      <c r="B404" s="126"/>
      <c r="C404" s="127" t="s">
        <v>1031</v>
      </c>
      <c r="D404" s="127" t="s">
        <v>144</v>
      </c>
      <c r="E404" s="128" t="s">
        <v>1032</v>
      </c>
      <c r="F404" s="129" t="s">
        <v>1033</v>
      </c>
      <c r="G404" s="130" t="s">
        <v>565</v>
      </c>
      <c r="H404" s="131">
        <v>254.26599999999999</v>
      </c>
      <c r="I404" s="132">
        <v>6.58</v>
      </c>
      <c r="J404" s="132">
        <f>ROUND(I404*H404,2)</f>
        <v>1673.07</v>
      </c>
      <c r="K404" s="129" t="s">
        <v>148</v>
      </c>
      <c r="L404" s="27"/>
      <c r="M404" s="133" t="s">
        <v>1</v>
      </c>
      <c r="N404" s="134" t="s">
        <v>39</v>
      </c>
      <c r="O404" s="135">
        <v>0</v>
      </c>
      <c r="P404" s="135">
        <f>O404*H404</f>
        <v>0</v>
      </c>
      <c r="Q404" s="135">
        <v>0</v>
      </c>
      <c r="R404" s="135">
        <f>Q404*H404</f>
        <v>0</v>
      </c>
      <c r="S404" s="135">
        <v>0</v>
      </c>
      <c r="T404" s="136">
        <f>S404*H404</f>
        <v>0</v>
      </c>
      <c r="AR404" s="137" t="s">
        <v>206</v>
      </c>
      <c r="AT404" s="137" t="s">
        <v>144</v>
      </c>
      <c r="AU404" s="137" t="s">
        <v>143</v>
      </c>
      <c r="AY404" s="15" t="s">
        <v>141</v>
      </c>
      <c r="BE404" s="138">
        <f>IF(N404="základní",J404,0)</f>
        <v>0</v>
      </c>
      <c r="BF404" s="138">
        <f>IF(N404="snížená",J404,0)</f>
        <v>1673.07</v>
      </c>
      <c r="BG404" s="138">
        <f>IF(N404="zákl. přenesená",J404,0)</f>
        <v>0</v>
      </c>
      <c r="BH404" s="138">
        <f>IF(N404="sníž. přenesená",J404,0)</f>
        <v>0</v>
      </c>
      <c r="BI404" s="138">
        <f>IF(N404="nulová",J404,0)</f>
        <v>0</v>
      </c>
      <c r="BJ404" s="15" t="s">
        <v>143</v>
      </c>
      <c r="BK404" s="138">
        <f>ROUND(I404*H404,2)</f>
        <v>1673.07</v>
      </c>
      <c r="BL404" s="15" t="s">
        <v>206</v>
      </c>
      <c r="BM404" s="137" t="s">
        <v>1034</v>
      </c>
    </row>
    <row r="405" spans="2:65" s="11" customFormat="1" ht="22.9" customHeight="1">
      <c r="B405" s="115"/>
      <c r="D405" s="116" t="s">
        <v>72</v>
      </c>
      <c r="E405" s="124" t="s">
        <v>1035</v>
      </c>
      <c r="F405" s="124" t="s">
        <v>1036</v>
      </c>
      <c r="J405" s="125">
        <f>BK405</f>
        <v>1411206.75</v>
      </c>
      <c r="L405" s="115"/>
      <c r="M405" s="119"/>
      <c r="P405" s="120">
        <f>SUM(P406:P415)</f>
        <v>636.17838500000005</v>
      </c>
      <c r="R405" s="120">
        <f>SUM(R406:R415)</f>
        <v>8.6109803599999992</v>
      </c>
      <c r="T405" s="121">
        <f>SUM(T406:T415)</f>
        <v>0</v>
      </c>
      <c r="AR405" s="116" t="s">
        <v>143</v>
      </c>
      <c r="AT405" s="122" t="s">
        <v>72</v>
      </c>
      <c r="AU405" s="122" t="s">
        <v>81</v>
      </c>
      <c r="AY405" s="116" t="s">
        <v>141</v>
      </c>
      <c r="BK405" s="123">
        <f>SUM(BK406:BK415)</f>
        <v>1411206.75</v>
      </c>
    </row>
    <row r="406" spans="2:65" s="1" customFormat="1" ht="24.2" customHeight="1">
      <c r="B406" s="126"/>
      <c r="C406" s="127" t="s">
        <v>1037</v>
      </c>
      <c r="D406" s="127" t="s">
        <v>144</v>
      </c>
      <c r="E406" s="128" t="s">
        <v>1038</v>
      </c>
      <c r="F406" s="129" t="s">
        <v>1039</v>
      </c>
      <c r="G406" s="130" t="s">
        <v>157</v>
      </c>
      <c r="H406" s="131">
        <v>1132.0119999999999</v>
      </c>
      <c r="I406" s="132">
        <v>37.9</v>
      </c>
      <c r="J406" s="132">
        <f>ROUND(I406*H406,2)</f>
        <v>42903.25</v>
      </c>
      <c r="K406" s="129" t="s">
        <v>148</v>
      </c>
      <c r="L406" s="27"/>
      <c r="M406" s="133" t="s">
        <v>1</v>
      </c>
      <c r="N406" s="134" t="s">
        <v>39</v>
      </c>
      <c r="O406" s="135">
        <v>5.8000000000000003E-2</v>
      </c>
      <c r="P406" s="135">
        <f>O406*H406</f>
        <v>65.656695999999997</v>
      </c>
      <c r="Q406" s="135">
        <v>3.0000000000000001E-5</v>
      </c>
      <c r="R406" s="135">
        <f>Q406*H406</f>
        <v>3.3960360000000002E-2</v>
      </c>
      <c r="S406" s="135">
        <v>0</v>
      </c>
      <c r="T406" s="136">
        <f>S406*H406</f>
        <v>0</v>
      </c>
      <c r="AR406" s="137" t="s">
        <v>206</v>
      </c>
      <c r="AT406" s="137" t="s">
        <v>144</v>
      </c>
      <c r="AU406" s="137" t="s">
        <v>143</v>
      </c>
      <c r="AY406" s="15" t="s">
        <v>141</v>
      </c>
      <c r="BE406" s="138">
        <f>IF(N406="základní",J406,0)</f>
        <v>0</v>
      </c>
      <c r="BF406" s="138">
        <f>IF(N406="snížená",J406,0)</f>
        <v>42903.25</v>
      </c>
      <c r="BG406" s="138">
        <f>IF(N406="zákl. přenesená",J406,0)</f>
        <v>0</v>
      </c>
      <c r="BH406" s="138">
        <f>IF(N406="sníž. přenesená",J406,0)</f>
        <v>0</v>
      </c>
      <c r="BI406" s="138">
        <f>IF(N406="nulová",J406,0)</f>
        <v>0</v>
      </c>
      <c r="BJ406" s="15" t="s">
        <v>143</v>
      </c>
      <c r="BK406" s="138">
        <f>ROUND(I406*H406,2)</f>
        <v>42903.25</v>
      </c>
      <c r="BL406" s="15" t="s">
        <v>206</v>
      </c>
      <c r="BM406" s="137" t="s">
        <v>1040</v>
      </c>
    </row>
    <row r="407" spans="2:65" s="1" customFormat="1" ht="24.2" customHeight="1">
      <c r="B407" s="126"/>
      <c r="C407" s="127" t="s">
        <v>1041</v>
      </c>
      <c r="D407" s="127" t="s">
        <v>144</v>
      </c>
      <c r="E407" s="128" t="s">
        <v>1042</v>
      </c>
      <c r="F407" s="129" t="s">
        <v>1043</v>
      </c>
      <c r="G407" s="130" t="s">
        <v>157</v>
      </c>
      <c r="H407" s="131">
        <v>1132.0119999999999</v>
      </c>
      <c r="I407" s="132">
        <v>198</v>
      </c>
      <c r="J407" s="132">
        <f>ROUND(I407*H407,2)</f>
        <v>224138.38</v>
      </c>
      <c r="K407" s="129" t="s">
        <v>148</v>
      </c>
      <c r="L407" s="27"/>
      <c r="M407" s="133" t="s">
        <v>1</v>
      </c>
      <c r="N407" s="134" t="s">
        <v>39</v>
      </c>
      <c r="O407" s="135">
        <v>0.192</v>
      </c>
      <c r="P407" s="135">
        <f>O407*H407</f>
        <v>217.346304</v>
      </c>
      <c r="Q407" s="135">
        <v>4.5500000000000002E-3</v>
      </c>
      <c r="R407" s="135">
        <f>Q407*H407</f>
        <v>5.1506546000000002</v>
      </c>
      <c r="S407" s="135">
        <v>0</v>
      </c>
      <c r="T407" s="136">
        <f>S407*H407</f>
        <v>0</v>
      </c>
      <c r="AR407" s="137" t="s">
        <v>206</v>
      </c>
      <c r="AT407" s="137" t="s">
        <v>144</v>
      </c>
      <c r="AU407" s="137" t="s">
        <v>143</v>
      </c>
      <c r="AY407" s="15" t="s">
        <v>141</v>
      </c>
      <c r="BE407" s="138">
        <f>IF(N407="základní",J407,0)</f>
        <v>0</v>
      </c>
      <c r="BF407" s="138">
        <f>IF(N407="snížená",J407,0)</f>
        <v>224138.38</v>
      </c>
      <c r="BG407" s="138">
        <f>IF(N407="zákl. přenesená",J407,0)</f>
        <v>0</v>
      </c>
      <c r="BH407" s="138">
        <f>IF(N407="sníž. přenesená",J407,0)</f>
        <v>0</v>
      </c>
      <c r="BI407" s="138">
        <f>IF(N407="nulová",J407,0)</f>
        <v>0</v>
      </c>
      <c r="BJ407" s="15" t="s">
        <v>143</v>
      </c>
      <c r="BK407" s="138">
        <f>ROUND(I407*H407,2)</f>
        <v>224138.38</v>
      </c>
      <c r="BL407" s="15" t="s">
        <v>206</v>
      </c>
      <c r="BM407" s="137" t="s">
        <v>1044</v>
      </c>
    </row>
    <row r="408" spans="2:65" s="1" customFormat="1" ht="24.2" customHeight="1">
      <c r="B408" s="126"/>
      <c r="C408" s="127" t="s">
        <v>1045</v>
      </c>
      <c r="D408" s="127" t="s">
        <v>144</v>
      </c>
      <c r="E408" s="128" t="s">
        <v>1046</v>
      </c>
      <c r="F408" s="129" t="s">
        <v>1047</v>
      </c>
      <c r="G408" s="130" t="s">
        <v>193</v>
      </c>
      <c r="H408" s="131">
        <v>792.40800000000002</v>
      </c>
      <c r="I408" s="132">
        <v>66.599999999999994</v>
      </c>
      <c r="J408" s="132">
        <f>ROUND(I408*H408,2)</f>
        <v>52774.37</v>
      </c>
      <c r="K408" s="129" t="s">
        <v>148</v>
      </c>
      <c r="L408" s="27"/>
      <c r="M408" s="133" t="s">
        <v>1</v>
      </c>
      <c r="N408" s="134" t="s">
        <v>39</v>
      </c>
      <c r="O408" s="135">
        <v>0.10199999999999999</v>
      </c>
      <c r="P408" s="135">
        <f>O408*H408</f>
        <v>80.825615999999997</v>
      </c>
      <c r="Q408" s="135">
        <v>2.0000000000000002E-5</v>
      </c>
      <c r="R408" s="135">
        <f>Q408*H408</f>
        <v>1.584816E-2</v>
      </c>
      <c r="S408" s="135">
        <v>0</v>
      </c>
      <c r="T408" s="136">
        <f>S408*H408</f>
        <v>0</v>
      </c>
      <c r="AR408" s="137" t="s">
        <v>206</v>
      </c>
      <c r="AT408" s="137" t="s">
        <v>144</v>
      </c>
      <c r="AU408" s="137" t="s">
        <v>143</v>
      </c>
      <c r="AY408" s="15" t="s">
        <v>141</v>
      </c>
      <c r="BE408" s="138">
        <f>IF(N408="základní",J408,0)</f>
        <v>0</v>
      </c>
      <c r="BF408" s="138">
        <f>IF(N408="snížená",J408,0)</f>
        <v>52774.37</v>
      </c>
      <c r="BG408" s="138">
        <f>IF(N408="zákl. přenesená",J408,0)</f>
        <v>0</v>
      </c>
      <c r="BH408" s="138">
        <f>IF(N408="sníž. přenesená",J408,0)</f>
        <v>0</v>
      </c>
      <c r="BI408" s="138">
        <f>IF(N408="nulová",J408,0)</f>
        <v>0</v>
      </c>
      <c r="BJ408" s="15" t="s">
        <v>143</v>
      </c>
      <c r="BK408" s="138">
        <f>ROUND(I408*H408,2)</f>
        <v>52774.37</v>
      </c>
      <c r="BL408" s="15" t="s">
        <v>206</v>
      </c>
      <c r="BM408" s="137" t="s">
        <v>1048</v>
      </c>
    </row>
    <row r="409" spans="2:65" s="1" customFormat="1" ht="21.75" customHeight="1">
      <c r="B409" s="126"/>
      <c r="C409" s="127" t="s">
        <v>1049</v>
      </c>
      <c r="D409" s="127" t="s">
        <v>144</v>
      </c>
      <c r="E409" s="128" t="s">
        <v>1050</v>
      </c>
      <c r="F409" s="129" t="s">
        <v>1051</v>
      </c>
      <c r="G409" s="130" t="s">
        <v>157</v>
      </c>
      <c r="H409" s="131">
        <v>521.90700000000004</v>
      </c>
      <c r="I409" s="132">
        <v>224</v>
      </c>
      <c r="J409" s="132">
        <f>ROUND(I409*H409,2)</f>
        <v>116907.17</v>
      </c>
      <c r="K409" s="129" t="s">
        <v>148</v>
      </c>
      <c r="L409" s="27"/>
      <c r="M409" s="133" t="s">
        <v>1</v>
      </c>
      <c r="N409" s="134" t="s">
        <v>39</v>
      </c>
      <c r="O409" s="135">
        <v>0.307</v>
      </c>
      <c r="P409" s="135">
        <f>O409*H409</f>
        <v>160.225449</v>
      </c>
      <c r="Q409" s="135">
        <v>2.9999999999999997E-4</v>
      </c>
      <c r="R409" s="135">
        <f>Q409*H409</f>
        <v>0.15657209999999999</v>
      </c>
      <c r="S409" s="135">
        <v>0</v>
      </c>
      <c r="T409" s="136">
        <f>S409*H409</f>
        <v>0</v>
      </c>
      <c r="AR409" s="137" t="s">
        <v>206</v>
      </c>
      <c r="AT409" s="137" t="s">
        <v>144</v>
      </c>
      <c r="AU409" s="137" t="s">
        <v>143</v>
      </c>
      <c r="AY409" s="15" t="s">
        <v>141</v>
      </c>
      <c r="BE409" s="138">
        <f>IF(N409="základní",J409,0)</f>
        <v>0</v>
      </c>
      <c r="BF409" s="138">
        <f>IF(N409="snížená",J409,0)</f>
        <v>116907.17</v>
      </c>
      <c r="BG409" s="138">
        <f>IF(N409="zákl. přenesená",J409,0)</f>
        <v>0</v>
      </c>
      <c r="BH409" s="138">
        <f>IF(N409="sníž. přenesená",J409,0)</f>
        <v>0</v>
      </c>
      <c r="BI409" s="138">
        <f>IF(N409="nulová",J409,0)</f>
        <v>0</v>
      </c>
      <c r="BJ409" s="15" t="s">
        <v>143</v>
      </c>
      <c r="BK409" s="138">
        <f>ROUND(I409*H409,2)</f>
        <v>116907.17</v>
      </c>
      <c r="BL409" s="15" t="s">
        <v>206</v>
      </c>
      <c r="BM409" s="137" t="s">
        <v>1052</v>
      </c>
    </row>
    <row r="410" spans="2:65" s="1" customFormat="1" ht="44.25" customHeight="1">
      <c r="B410" s="126"/>
      <c r="C410" s="139" t="s">
        <v>1053</v>
      </c>
      <c r="D410" s="139" t="s">
        <v>207</v>
      </c>
      <c r="E410" s="140" t="s">
        <v>1054</v>
      </c>
      <c r="F410" s="141" t="s">
        <v>1055</v>
      </c>
      <c r="G410" s="142" t="s">
        <v>157</v>
      </c>
      <c r="H410" s="143">
        <v>574.09799999999996</v>
      </c>
      <c r="I410" s="144">
        <v>525</v>
      </c>
      <c r="J410" s="144">
        <f>ROUND(I410*H410,2)</f>
        <v>301401.45</v>
      </c>
      <c r="K410" s="141" t="s">
        <v>148</v>
      </c>
      <c r="L410" s="145"/>
      <c r="M410" s="146" t="s">
        <v>1</v>
      </c>
      <c r="N410" s="147" t="s">
        <v>39</v>
      </c>
      <c r="O410" s="135">
        <v>0</v>
      </c>
      <c r="P410" s="135">
        <f>O410*H410</f>
        <v>0</v>
      </c>
      <c r="Q410" s="135">
        <v>3.6800000000000001E-3</v>
      </c>
      <c r="R410" s="135">
        <f>Q410*H410</f>
        <v>2.1126806399999998</v>
      </c>
      <c r="S410" s="135">
        <v>0</v>
      </c>
      <c r="T410" s="136">
        <f>S410*H410</f>
        <v>0</v>
      </c>
      <c r="AR410" s="137" t="s">
        <v>274</v>
      </c>
      <c r="AT410" s="137" t="s">
        <v>207</v>
      </c>
      <c r="AU410" s="137" t="s">
        <v>143</v>
      </c>
      <c r="AY410" s="15" t="s">
        <v>141</v>
      </c>
      <c r="BE410" s="138">
        <f>IF(N410="základní",J410,0)</f>
        <v>0</v>
      </c>
      <c r="BF410" s="138">
        <f>IF(N410="snížená",J410,0)</f>
        <v>301401.45</v>
      </c>
      <c r="BG410" s="138">
        <f>IF(N410="zákl. přenesená",J410,0)</f>
        <v>0</v>
      </c>
      <c r="BH410" s="138">
        <f>IF(N410="sníž. přenesená",J410,0)</f>
        <v>0</v>
      </c>
      <c r="BI410" s="138">
        <f>IF(N410="nulová",J410,0)</f>
        <v>0</v>
      </c>
      <c r="BJ410" s="15" t="s">
        <v>143</v>
      </c>
      <c r="BK410" s="138">
        <f>ROUND(I410*H410,2)</f>
        <v>301401.45</v>
      </c>
      <c r="BL410" s="15" t="s">
        <v>206</v>
      </c>
      <c r="BM410" s="137" t="s">
        <v>1056</v>
      </c>
    </row>
    <row r="411" spans="2:65" s="12" customFormat="1">
      <c r="B411" s="148"/>
      <c r="D411" s="149" t="s">
        <v>363</v>
      </c>
      <c r="F411" s="150" t="s">
        <v>1173</v>
      </c>
      <c r="H411" s="151">
        <v>574.09799999999996</v>
      </c>
      <c r="L411" s="148"/>
      <c r="M411" s="152"/>
      <c r="T411" s="153"/>
      <c r="AT411" s="154" t="s">
        <v>363</v>
      </c>
      <c r="AU411" s="154" t="s">
        <v>143</v>
      </c>
      <c r="AV411" s="12" t="s">
        <v>143</v>
      </c>
      <c r="AW411" s="12" t="s">
        <v>3</v>
      </c>
      <c r="AX411" s="12" t="s">
        <v>81</v>
      </c>
      <c r="AY411" s="154" t="s">
        <v>141</v>
      </c>
    </row>
    <row r="412" spans="2:65" s="1" customFormat="1" ht="21.75" customHeight="1">
      <c r="B412" s="126"/>
      <c r="C412" s="127" t="s">
        <v>1058</v>
      </c>
      <c r="D412" s="127" t="s">
        <v>144</v>
      </c>
      <c r="E412" s="128" t="s">
        <v>1059</v>
      </c>
      <c r="F412" s="129" t="s">
        <v>1060</v>
      </c>
      <c r="G412" s="130" t="s">
        <v>157</v>
      </c>
      <c r="H412" s="131">
        <v>500.55500000000001</v>
      </c>
      <c r="I412" s="132">
        <v>157</v>
      </c>
      <c r="J412" s="132">
        <f>ROUND(I412*H412,2)</f>
        <v>78587.14</v>
      </c>
      <c r="K412" s="129" t="s">
        <v>148</v>
      </c>
      <c r="L412" s="27"/>
      <c r="M412" s="133" t="s">
        <v>1</v>
      </c>
      <c r="N412" s="134" t="s">
        <v>39</v>
      </c>
      <c r="O412" s="135">
        <v>0.224</v>
      </c>
      <c r="P412" s="135">
        <f>O412*H412</f>
        <v>112.12432</v>
      </c>
      <c r="Q412" s="135">
        <v>2.9999999999999997E-4</v>
      </c>
      <c r="R412" s="135">
        <f>Q412*H412</f>
        <v>0.15016649999999998</v>
      </c>
      <c r="S412" s="135">
        <v>0</v>
      </c>
      <c r="T412" s="136">
        <f>S412*H412</f>
        <v>0</v>
      </c>
      <c r="AR412" s="137" t="s">
        <v>206</v>
      </c>
      <c r="AT412" s="137" t="s">
        <v>144</v>
      </c>
      <c r="AU412" s="137" t="s">
        <v>143</v>
      </c>
      <c r="AY412" s="15" t="s">
        <v>141</v>
      </c>
      <c r="BE412" s="138">
        <f>IF(N412="základní",J412,0)</f>
        <v>0</v>
      </c>
      <c r="BF412" s="138">
        <f>IF(N412="snížená",J412,0)</f>
        <v>78587.14</v>
      </c>
      <c r="BG412" s="138">
        <f>IF(N412="zákl. přenesená",J412,0)</f>
        <v>0</v>
      </c>
      <c r="BH412" s="138">
        <f>IF(N412="sníž. přenesená",J412,0)</f>
        <v>0</v>
      </c>
      <c r="BI412" s="138">
        <f>IF(N412="nulová",J412,0)</f>
        <v>0</v>
      </c>
      <c r="BJ412" s="15" t="s">
        <v>143</v>
      </c>
      <c r="BK412" s="138">
        <f>ROUND(I412*H412,2)</f>
        <v>78587.14</v>
      </c>
      <c r="BL412" s="15" t="s">
        <v>206</v>
      </c>
      <c r="BM412" s="137" t="s">
        <v>1061</v>
      </c>
    </row>
    <row r="413" spans="2:65" s="1" customFormat="1" ht="37.9" customHeight="1">
      <c r="B413" s="126"/>
      <c r="C413" s="139" t="s">
        <v>1062</v>
      </c>
      <c r="D413" s="139" t="s">
        <v>207</v>
      </c>
      <c r="E413" s="140" t="s">
        <v>1063</v>
      </c>
      <c r="F413" s="141" t="s">
        <v>1064</v>
      </c>
      <c r="G413" s="142" t="s">
        <v>157</v>
      </c>
      <c r="H413" s="143">
        <v>550.61</v>
      </c>
      <c r="I413" s="144">
        <v>1070</v>
      </c>
      <c r="J413" s="144">
        <f>ROUND(I413*H413,2)</f>
        <v>589152.69999999995</v>
      </c>
      <c r="K413" s="141" t="s">
        <v>148</v>
      </c>
      <c r="L413" s="145"/>
      <c r="M413" s="146" t="s">
        <v>1</v>
      </c>
      <c r="N413" s="147" t="s">
        <v>39</v>
      </c>
      <c r="O413" s="135">
        <v>0</v>
      </c>
      <c r="P413" s="135">
        <f>O413*H413</f>
        <v>0</v>
      </c>
      <c r="Q413" s="135">
        <v>1.8E-3</v>
      </c>
      <c r="R413" s="135">
        <f>Q413*H413</f>
        <v>0.99109800000000003</v>
      </c>
      <c r="S413" s="135">
        <v>0</v>
      </c>
      <c r="T413" s="136">
        <f>S413*H413</f>
        <v>0</v>
      </c>
      <c r="AR413" s="137" t="s">
        <v>274</v>
      </c>
      <c r="AT413" s="137" t="s">
        <v>207</v>
      </c>
      <c r="AU413" s="137" t="s">
        <v>143</v>
      </c>
      <c r="AY413" s="15" t="s">
        <v>141</v>
      </c>
      <c r="BE413" s="138">
        <f>IF(N413="základní",J413,0)</f>
        <v>0</v>
      </c>
      <c r="BF413" s="138">
        <f>IF(N413="snížená",J413,0)</f>
        <v>589152.69999999995</v>
      </c>
      <c r="BG413" s="138">
        <f>IF(N413="zákl. přenesená",J413,0)</f>
        <v>0</v>
      </c>
      <c r="BH413" s="138">
        <f>IF(N413="sníž. přenesená",J413,0)</f>
        <v>0</v>
      </c>
      <c r="BI413" s="138">
        <f>IF(N413="nulová",J413,0)</f>
        <v>0</v>
      </c>
      <c r="BJ413" s="15" t="s">
        <v>143</v>
      </c>
      <c r="BK413" s="138">
        <f>ROUND(I413*H413,2)</f>
        <v>589152.69999999995</v>
      </c>
      <c r="BL413" s="15" t="s">
        <v>206</v>
      </c>
      <c r="BM413" s="137" t="s">
        <v>1065</v>
      </c>
    </row>
    <row r="414" spans="2:65" s="12" customFormat="1">
      <c r="B414" s="148"/>
      <c r="D414" s="149" t="s">
        <v>363</v>
      </c>
      <c r="F414" s="150" t="s">
        <v>1174</v>
      </c>
      <c r="H414" s="151">
        <v>550.61</v>
      </c>
      <c r="L414" s="148"/>
      <c r="M414" s="152"/>
      <c r="T414" s="153"/>
      <c r="AT414" s="154" t="s">
        <v>363</v>
      </c>
      <c r="AU414" s="154" t="s">
        <v>143</v>
      </c>
      <c r="AV414" s="12" t="s">
        <v>143</v>
      </c>
      <c r="AW414" s="12" t="s">
        <v>3</v>
      </c>
      <c r="AX414" s="12" t="s">
        <v>81</v>
      </c>
      <c r="AY414" s="154" t="s">
        <v>141</v>
      </c>
    </row>
    <row r="415" spans="2:65" s="1" customFormat="1" ht="24.2" customHeight="1">
      <c r="B415" s="126"/>
      <c r="C415" s="127" t="s">
        <v>1067</v>
      </c>
      <c r="D415" s="127" t="s">
        <v>144</v>
      </c>
      <c r="E415" s="128" t="s">
        <v>1068</v>
      </c>
      <c r="F415" s="129" t="s">
        <v>1069</v>
      </c>
      <c r="G415" s="130" t="s">
        <v>565</v>
      </c>
      <c r="H415" s="131">
        <v>14058.645</v>
      </c>
      <c r="I415" s="132">
        <v>0.38</v>
      </c>
      <c r="J415" s="132">
        <f>ROUND(I415*H415,2)</f>
        <v>5342.29</v>
      </c>
      <c r="K415" s="129" t="s">
        <v>148</v>
      </c>
      <c r="L415" s="27"/>
      <c r="M415" s="133" t="s">
        <v>1</v>
      </c>
      <c r="N415" s="134" t="s">
        <v>39</v>
      </c>
      <c r="O415" s="135">
        <v>0</v>
      </c>
      <c r="P415" s="135">
        <f>O415*H415</f>
        <v>0</v>
      </c>
      <c r="Q415" s="135">
        <v>0</v>
      </c>
      <c r="R415" s="135">
        <f>Q415*H415</f>
        <v>0</v>
      </c>
      <c r="S415" s="135">
        <v>0</v>
      </c>
      <c r="T415" s="136">
        <f>S415*H415</f>
        <v>0</v>
      </c>
      <c r="AR415" s="137" t="s">
        <v>206</v>
      </c>
      <c r="AT415" s="137" t="s">
        <v>144</v>
      </c>
      <c r="AU415" s="137" t="s">
        <v>143</v>
      </c>
      <c r="AY415" s="15" t="s">
        <v>141</v>
      </c>
      <c r="BE415" s="138">
        <f>IF(N415="základní",J415,0)</f>
        <v>0</v>
      </c>
      <c r="BF415" s="138">
        <f>IF(N415="snížená",J415,0)</f>
        <v>5342.29</v>
      </c>
      <c r="BG415" s="138">
        <f>IF(N415="zákl. přenesená",J415,0)</f>
        <v>0</v>
      </c>
      <c r="BH415" s="138">
        <f>IF(N415="sníž. přenesená",J415,0)</f>
        <v>0</v>
      </c>
      <c r="BI415" s="138">
        <f>IF(N415="nulová",J415,0)</f>
        <v>0</v>
      </c>
      <c r="BJ415" s="15" t="s">
        <v>143</v>
      </c>
      <c r="BK415" s="138">
        <f>ROUND(I415*H415,2)</f>
        <v>5342.29</v>
      </c>
      <c r="BL415" s="15" t="s">
        <v>206</v>
      </c>
      <c r="BM415" s="137" t="s">
        <v>1070</v>
      </c>
    </row>
    <row r="416" spans="2:65" s="11" customFormat="1" ht="22.9" customHeight="1">
      <c r="B416" s="115"/>
      <c r="D416" s="116" t="s">
        <v>72</v>
      </c>
      <c r="E416" s="124" t="s">
        <v>1071</v>
      </c>
      <c r="F416" s="124" t="s">
        <v>1072</v>
      </c>
      <c r="J416" s="125">
        <f>BK416</f>
        <v>397002.27</v>
      </c>
      <c r="L416" s="115"/>
      <c r="M416" s="119"/>
      <c r="P416" s="120">
        <f>SUM(P417:P422)</f>
        <v>260.60753600000004</v>
      </c>
      <c r="R416" s="120">
        <f>SUM(R417:R422)</f>
        <v>6.5991899999999992</v>
      </c>
      <c r="T416" s="121">
        <f>SUM(T417:T422)</f>
        <v>0</v>
      </c>
      <c r="AR416" s="116" t="s">
        <v>143</v>
      </c>
      <c r="AT416" s="122" t="s">
        <v>72</v>
      </c>
      <c r="AU416" s="122" t="s">
        <v>81</v>
      </c>
      <c r="AY416" s="116" t="s">
        <v>141</v>
      </c>
      <c r="BK416" s="123">
        <f>SUM(BK417:BK422)</f>
        <v>397002.27</v>
      </c>
    </row>
    <row r="417" spans="2:65" s="1" customFormat="1" ht="16.5" customHeight="1">
      <c r="B417" s="126"/>
      <c r="C417" s="127" t="s">
        <v>1073</v>
      </c>
      <c r="D417" s="127" t="s">
        <v>144</v>
      </c>
      <c r="E417" s="128" t="s">
        <v>1074</v>
      </c>
      <c r="F417" s="129" t="s">
        <v>1075</v>
      </c>
      <c r="G417" s="130" t="s">
        <v>157</v>
      </c>
      <c r="H417" s="131">
        <v>337.57600000000002</v>
      </c>
      <c r="I417" s="132">
        <v>56.2</v>
      </c>
      <c r="J417" s="132">
        <f>ROUND(I417*H417,2)</f>
        <v>18971.77</v>
      </c>
      <c r="K417" s="129" t="s">
        <v>148</v>
      </c>
      <c r="L417" s="27"/>
      <c r="M417" s="133" t="s">
        <v>1</v>
      </c>
      <c r="N417" s="134" t="s">
        <v>39</v>
      </c>
      <c r="O417" s="135">
        <v>4.3999999999999997E-2</v>
      </c>
      <c r="P417" s="135">
        <f>O417*H417</f>
        <v>14.853344</v>
      </c>
      <c r="Q417" s="135">
        <v>2.9999999999999997E-4</v>
      </c>
      <c r="R417" s="135">
        <f>Q417*H417</f>
        <v>0.1012728</v>
      </c>
      <c r="S417" s="135">
        <v>0</v>
      </c>
      <c r="T417" s="136">
        <f>S417*H417</f>
        <v>0</v>
      </c>
      <c r="AR417" s="137" t="s">
        <v>206</v>
      </c>
      <c r="AT417" s="137" t="s">
        <v>144</v>
      </c>
      <c r="AU417" s="137" t="s">
        <v>143</v>
      </c>
      <c r="AY417" s="15" t="s">
        <v>141</v>
      </c>
      <c r="BE417" s="138">
        <f>IF(N417="základní",J417,0)</f>
        <v>0</v>
      </c>
      <c r="BF417" s="138">
        <f>IF(N417="snížená",J417,0)</f>
        <v>18971.77</v>
      </c>
      <c r="BG417" s="138">
        <f>IF(N417="zákl. přenesená",J417,0)</f>
        <v>0</v>
      </c>
      <c r="BH417" s="138">
        <f>IF(N417="sníž. přenesená",J417,0)</f>
        <v>0</v>
      </c>
      <c r="BI417" s="138">
        <f>IF(N417="nulová",J417,0)</f>
        <v>0</v>
      </c>
      <c r="BJ417" s="15" t="s">
        <v>143</v>
      </c>
      <c r="BK417" s="138">
        <f>ROUND(I417*H417,2)</f>
        <v>18971.77</v>
      </c>
      <c r="BL417" s="15" t="s">
        <v>206</v>
      </c>
      <c r="BM417" s="137" t="s">
        <v>1076</v>
      </c>
    </row>
    <row r="418" spans="2:65" s="1" customFormat="1" ht="24.2" customHeight="1">
      <c r="B418" s="126"/>
      <c r="C418" s="127" t="s">
        <v>1077</v>
      </c>
      <c r="D418" s="127" t="s">
        <v>144</v>
      </c>
      <c r="E418" s="128" t="s">
        <v>1078</v>
      </c>
      <c r="F418" s="129" t="s">
        <v>1079</v>
      </c>
      <c r="G418" s="130" t="s">
        <v>157</v>
      </c>
      <c r="H418" s="131">
        <v>337.57600000000002</v>
      </c>
      <c r="I418" s="132">
        <v>587</v>
      </c>
      <c r="J418" s="132">
        <f>ROUND(I418*H418,2)</f>
        <v>198157.11</v>
      </c>
      <c r="K418" s="129" t="s">
        <v>148</v>
      </c>
      <c r="L418" s="27"/>
      <c r="M418" s="133" t="s">
        <v>1</v>
      </c>
      <c r="N418" s="134" t="s">
        <v>39</v>
      </c>
      <c r="O418" s="135">
        <v>0.64200000000000002</v>
      </c>
      <c r="P418" s="135">
        <f>O418*H418</f>
        <v>216.72379200000003</v>
      </c>
      <c r="Q418" s="135">
        <v>6.0000000000000001E-3</v>
      </c>
      <c r="R418" s="135">
        <f>Q418*H418</f>
        <v>2.0254560000000001</v>
      </c>
      <c r="S418" s="135">
        <v>0</v>
      </c>
      <c r="T418" s="136">
        <f>S418*H418</f>
        <v>0</v>
      </c>
      <c r="AR418" s="137" t="s">
        <v>206</v>
      </c>
      <c r="AT418" s="137" t="s">
        <v>144</v>
      </c>
      <c r="AU418" s="137" t="s">
        <v>143</v>
      </c>
      <c r="AY418" s="15" t="s">
        <v>141</v>
      </c>
      <c r="BE418" s="138">
        <f>IF(N418="základní",J418,0)</f>
        <v>0</v>
      </c>
      <c r="BF418" s="138">
        <f>IF(N418="snížená",J418,0)</f>
        <v>198157.11</v>
      </c>
      <c r="BG418" s="138">
        <f>IF(N418="zákl. přenesená",J418,0)</f>
        <v>0</v>
      </c>
      <c r="BH418" s="138">
        <f>IF(N418="sníž. přenesená",J418,0)</f>
        <v>0</v>
      </c>
      <c r="BI418" s="138">
        <f>IF(N418="nulová",J418,0)</f>
        <v>0</v>
      </c>
      <c r="BJ418" s="15" t="s">
        <v>143</v>
      </c>
      <c r="BK418" s="138">
        <f>ROUND(I418*H418,2)</f>
        <v>198157.11</v>
      </c>
      <c r="BL418" s="15" t="s">
        <v>206</v>
      </c>
      <c r="BM418" s="137" t="s">
        <v>1080</v>
      </c>
    </row>
    <row r="419" spans="2:65" s="1" customFormat="1" ht="16.5" customHeight="1">
      <c r="B419" s="126"/>
      <c r="C419" s="139" t="s">
        <v>1081</v>
      </c>
      <c r="D419" s="139" t="s">
        <v>207</v>
      </c>
      <c r="E419" s="140" t="s">
        <v>1082</v>
      </c>
      <c r="F419" s="141" t="s">
        <v>1083</v>
      </c>
      <c r="G419" s="142" t="s">
        <v>157</v>
      </c>
      <c r="H419" s="143">
        <v>371.334</v>
      </c>
      <c r="I419" s="144">
        <v>387</v>
      </c>
      <c r="J419" s="144">
        <f>ROUND(I419*H419,2)</f>
        <v>143706.26</v>
      </c>
      <c r="K419" s="141" t="s">
        <v>148</v>
      </c>
      <c r="L419" s="145"/>
      <c r="M419" s="146" t="s">
        <v>1</v>
      </c>
      <c r="N419" s="147" t="s">
        <v>39</v>
      </c>
      <c r="O419" s="135">
        <v>0</v>
      </c>
      <c r="P419" s="135">
        <f>O419*H419</f>
        <v>0</v>
      </c>
      <c r="Q419" s="135">
        <v>1.18E-2</v>
      </c>
      <c r="R419" s="135">
        <f>Q419*H419</f>
        <v>4.3817411999999996</v>
      </c>
      <c r="S419" s="135">
        <v>0</v>
      </c>
      <c r="T419" s="136">
        <f>S419*H419</f>
        <v>0</v>
      </c>
      <c r="AR419" s="137" t="s">
        <v>274</v>
      </c>
      <c r="AT419" s="137" t="s">
        <v>207</v>
      </c>
      <c r="AU419" s="137" t="s">
        <v>143</v>
      </c>
      <c r="AY419" s="15" t="s">
        <v>141</v>
      </c>
      <c r="BE419" s="138">
        <f>IF(N419="základní",J419,0)</f>
        <v>0</v>
      </c>
      <c r="BF419" s="138">
        <f>IF(N419="snížená",J419,0)</f>
        <v>143706.26</v>
      </c>
      <c r="BG419" s="138">
        <f>IF(N419="zákl. přenesená",J419,0)</f>
        <v>0</v>
      </c>
      <c r="BH419" s="138">
        <f>IF(N419="sníž. přenesená",J419,0)</f>
        <v>0</v>
      </c>
      <c r="BI419" s="138">
        <f>IF(N419="nulová",J419,0)</f>
        <v>0</v>
      </c>
      <c r="BJ419" s="15" t="s">
        <v>143</v>
      </c>
      <c r="BK419" s="138">
        <f>ROUND(I419*H419,2)</f>
        <v>143706.26</v>
      </c>
      <c r="BL419" s="15" t="s">
        <v>206</v>
      </c>
      <c r="BM419" s="137" t="s">
        <v>1084</v>
      </c>
    </row>
    <row r="420" spans="2:65" s="12" customFormat="1">
      <c r="B420" s="148"/>
      <c r="D420" s="149" t="s">
        <v>363</v>
      </c>
      <c r="F420" s="150" t="s">
        <v>1175</v>
      </c>
      <c r="H420" s="151">
        <v>371.334</v>
      </c>
      <c r="L420" s="148"/>
      <c r="M420" s="152"/>
      <c r="T420" s="153"/>
      <c r="AT420" s="154" t="s">
        <v>363</v>
      </c>
      <c r="AU420" s="154" t="s">
        <v>143</v>
      </c>
      <c r="AV420" s="12" t="s">
        <v>143</v>
      </c>
      <c r="AW420" s="12" t="s">
        <v>3</v>
      </c>
      <c r="AX420" s="12" t="s">
        <v>81</v>
      </c>
      <c r="AY420" s="154" t="s">
        <v>141</v>
      </c>
    </row>
    <row r="421" spans="2:65" s="1" customFormat="1" ht="21.75" customHeight="1">
      <c r="B421" s="126"/>
      <c r="C421" s="127" t="s">
        <v>1086</v>
      </c>
      <c r="D421" s="127" t="s">
        <v>144</v>
      </c>
      <c r="E421" s="128" t="s">
        <v>1087</v>
      </c>
      <c r="F421" s="129" t="s">
        <v>1088</v>
      </c>
      <c r="G421" s="130" t="s">
        <v>193</v>
      </c>
      <c r="H421" s="131">
        <v>181.44</v>
      </c>
      <c r="I421" s="132">
        <v>128</v>
      </c>
      <c r="J421" s="132">
        <f>ROUND(I421*H421,2)</f>
        <v>23224.32</v>
      </c>
      <c r="K421" s="129" t="s">
        <v>148</v>
      </c>
      <c r="L421" s="27"/>
      <c r="M421" s="133" t="s">
        <v>1</v>
      </c>
      <c r="N421" s="134" t="s">
        <v>39</v>
      </c>
      <c r="O421" s="135">
        <v>0.16</v>
      </c>
      <c r="P421" s="135">
        <f>O421*H421</f>
        <v>29.0304</v>
      </c>
      <c r="Q421" s="135">
        <v>5.0000000000000001E-4</v>
      </c>
      <c r="R421" s="135">
        <f>Q421*H421</f>
        <v>9.0719999999999995E-2</v>
      </c>
      <c r="S421" s="135">
        <v>0</v>
      </c>
      <c r="T421" s="136">
        <f>S421*H421</f>
        <v>0</v>
      </c>
      <c r="AR421" s="137" t="s">
        <v>206</v>
      </c>
      <c r="AT421" s="137" t="s">
        <v>144</v>
      </c>
      <c r="AU421" s="137" t="s">
        <v>143</v>
      </c>
      <c r="AY421" s="15" t="s">
        <v>141</v>
      </c>
      <c r="BE421" s="138">
        <f>IF(N421="základní",J421,0)</f>
        <v>0</v>
      </c>
      <c r="BF421" s="138">
        <f>IF(N421="snížená",J421,0)</f>
        <v>23224.32</v>
      </c>
      <c r="BG421" s="138">
        <f>IF(N421="zákl. přenesená",J421,0)</f>
        <v>0</v>
      </c>
      <c r="BH421" s="138">
        <f>IF(N421="sníž. přenesená",J421,0)</f>
        <v>0</v>
      </c>
      <c r="BI421" s="138">
        <f>IF(N421="nulová",J421,0)</f>
        <v>0</v>
      </c>
      <c r="BJ421" s="15" t="s">
        <v>143</v>
      </c>
      <c r="BK421" s="138">
        <f>ROUND(I421*H421,2)</f>
        <v>23224.32</v>
      </c>
      <c r="BL421" s="15" t="s">
        <v>206</v>
      </c>
      <c r="BM421" s="137" t="s">
        <v>1089</v>
      </c>
    </row>
    <row r="422" spans="2:65" s="1" customFormat="1" ht="24.2" customHeight="1">
      <c r="B422" s="126"/>
      <c r="C422" s="127" t="s">
        <v>1090</v>
      </c>
      <c r="D422" s="127" t="s">
        <v>144</v>
      </c>
      <c r="E422" s="128" t="s">
        <v>1091</v>
      </c>
      <c r="F422" s="129" t="s">
        <v>1092</v>
      </c>
      <c r="G422" s="130" t="s">
        <v>565</v>
      </c>
      <c r="H422" s="131">
        <v>3840.5949999999998</v>
      </c>
      <c r="I422" s="132">
        <v>3.37</v>
      </c>
      <c r="J422" s="132">
        <f>ROUND(I422*H422,2)</f>
        <v>12942.81</v>
      </c>
      <c r="K422" s="129" t="s">
        <v>148</v>
      </c>
      <c r="L422" s="27"/>
      <c r="M422" s="133" t="s">
        <v>1</v>
      </c>
      <c r="N422" s="134" t="s">
        <v>39</v>
      </c>
      <c r="O422" s="135">
        <v>0</v>
      </c>
      <c r="P422" s="135">
        <f>O422*H422</f>
        <v>0</v>
      </c>
      <c r="Q422" s="135">
        <v>0</v>
      </c>
      <c r="R422" s="135">
        <f>Q422*H422</f>
        <v>0</v>
      </c>
      <c r="S422" s="135">
        <v>0</v>
      </c>
      <c r="T422" s="136">
        <f>S422*H422</f>
        <v>0</v>
      </c>
      <c r="AR422" s="137" t="s">
        <v>206</v>
      </c>
      <c r="AT422" s="137" t="s">
        <v>144</v>
      </c>
      <c r="AU422" s="137" t="s">
        <v>143</v>
      </c>
      <c r="AY422" s="15" t="s">
        <v>141</v>
      </c>
      <c r="BE422" s="138">
        <f>IF(N422="základní",J422,0)</f>
        <v>0</v>
      </c>
      <c r="BF422" s="138">
        <f>IF(N422="snížená",J422,0)</f>
        <v>12942.81</v>
      </c>
      <c r="BG422" s="138">
        <f>IF(N422="zákl. přenesená",J422,0)</f>
        <v>0</v>
      </c>
      <c r="BH422" s="138">
        <f>IF(N422="sníž. přenesená",J422,0)</f>
        <v>0</v>
      </c>
      <c r="BI422" s="138">
        <f>IF(N422="nulová",J422,0)</f>
        <v>0</v>
      </c>
      <c r="BJ422" s="15" t="s">
        <v>143</v>
      </c>
      <c r="BK422" s="138">
        <f>ROUND(I422*H422,2)</f>
        <v>12942.81</v>
      </c>
      <c r="BL422" s="15" t="s">
        <v>206</v>
      </c>
      <c r="BM422" s="137" t="s">
        <v>1093</v>
      </c>
    </row>
    <row r="423" spans="2:65" s="11" customFormat="1" ht="22.9" customHeight="1">
      <c r="B423" s="115"/>
      <c r="D423" s="116" t="s">
        <v>72</v>
      </c>
      <c r="E423" s="124" t="s">
        <v>1094</v>
      </c>
      <c r="F423" s="124" t="s">
        <v>1095</v>
      </c>
      <c r="J423" s="125">
        <f>BK423</f>
        <v>472161.32999999996</v>
      </c>
      <c r="L423" s="115"/>
      <c r="M423" s="119"/>
      <c r="P423" s="120">
        <f>SUM(P424:P425)</f>
        <v>728.07385800000009</v>
      </c>
      <c r="R423" s="120">
        <f>SUM(R424:R425)</f>
        <v>2.6080257599999994</v>
      </c>
      <c r="T423" s="121">
        <f>SUM(T424:T425)</f>
        <v>0</v>
      </c>
      <c r="AR423" s="116" t="s">
        <v>143</v>
      </c>
      <c r="AT423" s="122" t="s">
        <v>72</v>
      </c>
      <c r="AU423" s="122" t="s">
        <v>81</v>
      </c>
      <c r="AY423" s="116" t="s">
        <v>141</v>
      </c>
      <c r="BK423" s="123">
        <f>SUM(BK424:BK425)</f>
        <v>472161.32999999996</v>
      </c>
    </row>
    <row r="424" spans="2:65" s="1" customFormat="1" ht="33" customHeight="1">
      <c r="B424" s="126"/>
      <c r="C424" s="127" t="s">
        <v>1096</v>
      </c>
      <c r="D424" s="127" t="s">
        <v>144</v>
      </c>
      <c r="E424" s="128" t="s">
        <v>1097</v>
      </c>
      <c r="F424" s="129" t="s">
        <v>1098</v>
      </c>
      <c r="G424" s="130" t="s">
        <v>157</v>
      </c>
      <c r="H424" s="131">
        <v>5433.3869999999997</v>
      </c>
      <c r="I424" s="132">
        <v>18</v>
      </c>
      <c r="J424" s="132">
        <f>ROUND(I424*H424,2)</f>
        <v>97800.97</v>
      </c>
      <c r="K424" s="129" t="s">
        <v>148</v>
      </c>
      <c r="L424" s="27"/>
      <c r="M424" s="133" t="s">
        <v>1</v>
      </c>
      <c r="N424" s="134" t="s">
        <v>39</v>
      </c>
      <c r="O424" s="135">
        <v>3.3000000000000002E-2</v>
      </c>
      <c r="P424" s="135">
        <f>O424*H424</f>
        <v>179.301771</v>
      </c>
      <c r="Q424" s="135">
        <v>2.0000000000000001E-4</v>
      </c>
      <c r="R424" s="135">
        <f>Q424*H424</f>
        <v>1.0866773999999999</v>
      </c>
      <c r="S424" s="135">
        <v>0</v>
      </c>
      <c r="T424" s="136">
        <f>S424*H424</f>
        <v>0</v>
      </c>
      <c r="AR424" s="137" t="s">
        <v>206</v>
      </c>
      <c r="AT424" s="137" t="s">
        <v>144</v>
      </c>
      <c r="AU424" s="137" t="s">
        <v>143</v>
      </c>
      <c r="AY424" s="15" t="s">
        <v>141</v>
      </c>
      <c r="BE424" s="138">
        <f>IF(N424="základní",J424,0)</f>
        <v>0</v>
      </c>
      <c r="BF424" s="138">
        <f>IF(N424="snížená",J424,0)</f>
        <v>97800.97</v>
      </c>
      <c r="BG424" s="138">
        <f>IF(N424="zákl. přenesená",J424,0)</f>
        <v>0</v>
      </c>
      <c r="BH424" s="138">
        <f>IF(N424="sníž. přenesená",J424,0)</f>
        <v>0</v>
      </c>
      <c r="BI424" s="138">
        <f>IF(N424="nulová",J424,0)</f>
        <v>0</v>
      </c>
      <c r="BJ424" s="15" t="s">
        <v>143</v>
      </c>
      <c r="BK424" s="138">
        <f>ROUND(I424*H424,2)</f>
        <v>97800.97</v>
      </c>
      <c r="BL424" s="15" t="s">
        <v>206</v>
      </c>
      <c r="BM424" s="137" t="s">
        <v>1099</v>
      </c>
    </row>
    <row r="425" spans="2:65" s="1" customFormat="1" ht="33" customHeight="1">
      <c r="B425" s="126"/>
      <c r="C425" s="127" t="s">
        <v>1100</v>
      </c>
      <c r="D425" s="127" t="s">
        <v>144</v>
      </c>
      <c r="E425" s="128" t="s">
        <v>1101</v>
      </c>
      <c r="F425" s="129" t="s">
        <v>1102</v>
      </c>
      <c r="G425" s="130" t="s">
        <v>157</v>
      </c>
      <c r="H425" s="131">
        <v>5433.3869999999997</v>
      </c>
      <c r="I425" s="132">
        <v>68.900000000000006</v>
      </c>
      <c r="J425" s="132">
        <f>ROUND(I425*H425,2)</f>
        <v>374360.36</v>
      </c>
      <c r="K425" s="129" t="s">
        <v>148</v>
      </c>
      <c r="L425" s="27"/>
      <c r="M425" s="133" t="s">
        <v>1</v>
      </c>
      <c r="N425" s="134" t="s">
        <v>39</v>
      </c>
      <c r="O425" s="135">
        <v>0.10100000000000001</v>
      </c>
      <c r="P425" s="135">
        <f>O425*H425</f>
        <v>548.77208700000006</v>
      </c>
      <c r="Q425" s="135">
        <v>2.7999999999999998E-4</v>
      </c>
      <c r="R425" s="135">
        <f>Q425*H425</f>
        <v>1.5213483599999997</v>
      </c>
      <c r="S425" s="135">
        <v>0</v>
      </c>
      <c r="T425" s="136">
        <f>S425*H425</f>
        <v>0</v>
      </c>
      <c r="AR425" s="137" t="s">
        <v>206</v>
      </c>
      <c r="AT425" s="137" t="s">
        <v>144</v>
      </c>
      <c r="AU425" s="137" t="s">
        <v>143</v>
      </c>
      <c r="AY425" s="15" t="s">
        <v>141</v>
      </c>
      <c r="BE425" s="138">
        <f>IF(N425="základní",J425,0)</f>
        <v>0</v>
      </c>
      <c r="BF425" s="138">
        <f>IF(N425="snížená",J425,0)</f>
        <v>374360.36</v>
      </c>
      <c r="BG425" s="138">
        <f>IF(N425="zákl. přenesená",J425,0)</f>
        <v>0</v>
      </c>
      <c r="BH425" s="138">
        <f>IF(N425="sníž. přenesená",J425,0)</f>
        <v>0</v>
      </c>
      <c r="BI425" s="138">
        <f>IF(N425="nulová",J425,0)</f>
        <v>0</v>
      </c>
      <c r="BJ425" s="15" t="s">
        <v>143</v>
      </c>
      <c r="BK425" s="138">
        <f>ROUND(I425*H425,2)</f>
        <v>374360.36</v>
      </c>
      <c r="BL425" s="15" t="s">
        <v>206</v>
      </c>
      <c r="BM425" s="137" t="s">
        <v>1103</v>
      </c>
    </row>
    <row r="426" spans="2:65" s="11" customFormat="1" ht="25.9" customHeight="1">
      <c r="B426" s="115"/>
      <c r="D426" s="116" t="s">
        <v>72</v>
      </c>
      <c r="E426" s="117" t="s">
        <v>1104</v>
      </c>
      <c r="F426" s="117" t="s">
        <v>1105</v>
      </c>
      <c r="J426" s="118">
        <f>BK426</f>
        <v>95664</v>
      </c>
      <c r="L426" s="115"/>
      <c r="M426" s="119"/>
      <c r="P426" s="120">
        <f>P427+P430+P435</f>
        <v>0</v>
      </c>
      <c r="R426" s="120">
        <f>R427+R430+R435</f>
        <v>0</v>
      </c>
      <c r="T426" s="121">
        <f>T427+T430+T435</f>
        <v>0</v>
      </c>
      <c r="AR426" s="116" t="s">
        <v>159</v>
      </c>
      <c r="AT426" s="122" t="s">
        <v>72</v>
      </c>
      <c r="AU426" s="122" t="s">
        <v>73</v>
      </c>
      <c r="AY426" s="116" t="s">
        <v>141</v>
      </c>
      <c r="BK426" s="123">
        <f>BK427+BK430+BK435</f>
        <v>95664</v>
      </c>
    </row>
    <row r="427" spans="2:65" s="11" customFormat="1" ht="22.9" customHeight="1">
      <c r="B427" s="115"/>
      <c r="D427" s="116" t="s">
        <v>72</v>
      </c>
      <c r="E427" s="124" t="s">
        <v>1106</v>
      </c>
      <c r="F427" s="124" t="s">
        <v>1107</v>
      </c>
      <c r="J427" s="125">
        <f>BK427</f>
        <v>18720</v>
      </c>
      <c r="L427" s="115"/>
      <c r="M427" s="119"/>
      <c r="P427" s="120">
        <f>SUM(P428:P429)</f>
        <v>0</v>
      </c>
      <c r="R427" s="120">
        <f>SUM(R428:R429)</f>
        <v>0</v>
      </c>
      <c r="T427" s="121">
        <f>SUM(T428:T429)</f>
        <v>0</v>
      </c>
      <c r="AR427" s="116" t="s">
        <v>159</v>
      </c>
      <c r="AT427" s="122" t="s">
        <v>72</v>
      </c>
      <c r="AU427" s="122" t="s">
        <v>81</v>
      </c>
      <c r="AY427" s="116" t="s">
        <v>141</v>
      </c>
      <c r="BK427" s="123">
        <f>SUM(BK428:BK429)</f>
        <v>18720</v>
      </c>
    </row>
    <row r="428" spans="2:65" s="1" customFormat="1" ht="24.2" customHeight="1">
      <c r="B428" s="126"/>
      <c r="C428" s="127" t="s">
        <v>1108</v>
      </c>
      <c r="D428" s="127" t="s">
        <v>144</v>
      </c>
      <c r="E428" s="128" t="s">
        <v>1109</v>
      </c>
      <c r="F428" s="129" t="s">
        <v>1110</v>
      </c>
      <c r="G428" s="130" t="s">
        <v>1111</v>
      </c>
      <c r="H428" s="131">
        <v>1</v>
      </c>
      <c r="I428" s="132">
        <v>7680</v>
      </c>
      <c r="J428" s="132">
        <f>ROUND(I428*H428,2)</f>
        <v>7680</v>
      </c>
      <c r="K428" s="129" t="s">
        <v>148</v>
      </c>
      <c r="L428" s="27"/>
      <c r="M428" s="133" t="s">
        <v>1</v>
      </c>
      <c r="N428" s="134" t="s">
        <v>39</v>
      </c>
      <c r="O428" s="135">
        <v>0</v>
      </c>
      <c r="P428" s="135">
        <f>O428*H428</f>
        <v>0</v>
      </c>
      <c r="Q428" s="135">
        <v>0</v>
      </c>
      <c r="R428" s="135">
        <f>Q428*H428</f>
        <v>0</v>
      </c>
      <c r="S428" s="135">
        <v>0</v>
      </c>
      <c r="T428" s="136">
        <f>S428*H428</f>
        <v>0</v>
      </c>
      <c r="AR428" s="137" t="s">
        <v>1112</v>
      </c>
      <c r="AT428" s="137" t="s">
        <v>144</v>
      </c>
      <c r="AU428" s="137" t="s">
        <v>143</v>
      </c>
      <c r="AY428" s="15" t="s">
        <v>141</v>
      </c>
      <c r="BE428" s="138">
        <f>IF(N428="základní",J428,0)</f>
        <v>0</v>
      </c>
      <c r="BF428" s="138">
        <f>IF(N428="snížená",J428,0)</f>
        <v>7680</v>
      </c>
      <c r="BG428" s="138">
        <f>IF(N428="zákl. přenesená",J428,0)</f>
        <v>0</v>
      </c>
      <c r="BH428" s="138">
        <f>IF(N428="sníž. přenesená",J428,0)</f>
        <v>0</v>
      </c>
      <c r="BI428" s="138">
        <f>IF(N428="nulová",J428,0)</f>
        <v>0</v>
      </c>
      <c r="BJ428" s="15" t="s">
        <v>143</v>
      </c>
      <c r="BK428" s="138">
        <f>ROUND(I428*H428,2)</f>
        <v>7680</v>
      </c>
      <c r="BL428" s="15" t="s">
        <v>1112</v>
      </c>
      <c r="BM428" s="137" t="s">
        <v>1113</v>
      </c>
    </row>
    <row r="429" spans="2:65" s="1" customFormat="1" ht="21.75" customHeight="1">
      <c r="B429" s="126"/>
      <c r="C429" s="127" t="s">
        <v>1114</v>
      </c>
      <c r="D429" s="127" t="s">
        <v>144</v>
      </c>
      <c r="E429" s="128" t="s">
        <v>1115</v>
      </c>
      <c r="F429" s="129" t="s">
        <v>1116</v>
      </c>
      <c r="G429" s="130" t="s">
        <v>1111</v>
      </c>
      <c r="H429" s="131">
        <v>1</v>
      </c>
      <c r="I429" s="132">
        <v>11040</v>
      </c>
      <c r="J429" s="132">
        <f>ROUND(I429*H429,2)</f>
        <v>11040</v>
      </c>
      <c r="K429" s="129" t="s">
        <v>148</v>
      </c>
      <c r="L429" s="27"/>
      <c r="M429" s="133" t="s">
        <v>1</v>
      </c>
      <c r="N429" s="134" t="s">
        <v>39</v>
      </c>
      <c r="O429" s="135">
        <v>0</v>
      </c>
      <c r="P429" s="135">
        <f>O429*H429</f>
        <v>0</v>
      </c>
      <c r="Q429" s="135">
        <v>0</v>
      </c>
      <c r="R429" s="135">
        <f>Q429*H429</f>
        <v>0</v>
      </c>
      <c r="S429" s="135">
        <v>0</v>
      </c>
      <c r="T429" s="136">
        <f>S429*H429</f>
        <v>0</v>
      </c>
      <c r="AR429" s="137" t="s">
        <v>1112</v>
      </c>
      <c r="AT429" s="137" t="s">
        <v>144</v>
      </c>
      <c r="AU429" s="137" t="s">
        <v>143</v>
      </c>
      <c r="AY429" s="15" t="s">
        <v>141</v>
      </c>
      <c r="BE429" s="138">
        <f>IF(N429="základní",J429,0)</f>
        <v>0</v>
      </c>
      <c r="BF429" s="138">
        <f>IF(N429="snížená",J429,0)</f>
        <v>11040</v>
      </c>
      <c r="BG429" s="138">
        <f>IF(N429="zákl. přenesená",J429,0)</f>
        <v>0</v>
      </c>
      <c r="BH429" s="138">
        <f>IF(N429="sníž. přenesená",J429,0)</f>
        <v>0</v>
      </c>
      <c r="BI429" s="138">
        <f>IF(N429="nulová",J429,0)</f>
        <v>0</v>
      </c>
      <c r="BJ429" s="15" t="s">
        <v>143</v>
      </c>
      <c r="BK429" s="138">
        <f>ROUND(I429*H429,2)</f>
        <v>11040</v>
      </c>
      <c r="BL429" s="15" t="s">
        <v>1112</v>
      </c>
      <c r="BM429" s="137" t="s">
        <v>1117</v>
      </c>
    </row>
    <row r="430" spans="2:65" s="11" customFormat="1" ht="22.9" customHeight="1">
      <c r="B430" s="115"/>
      <c r="D430" s="116" t="s">
        <v>72</v>
      </c>
      <c r="E430" s="124" t="s">
        <v>1118</v>
      </c>
      <c r="F430" s="124" t="s">
        <v>1119</v>
      </c>
      <c r="J430" s="125">
        <f>BK430</f>
        <v>70608</v>
      </c>
      <c r="L430" s="115"/>
      <c r="M430" s="119"/>
      <c r="P430" s="120">
        <f>SUM(P431:P434)</f>
        <v>0</v>
      </c>
      <c r="R430" s="120">
        <f>SUM(R431:R434)</f>
        <v>0</v>
      </c>
      <c r="T430" s="121">
        <f>SUM(T431:T434)</f>
        <v>0</v>
      </c>
      <c r="AR430" s="116" t="s">
        <v>159</v>
      </c>
      <c r="AT430" s="122" t="s">
        <v>72</v>
      </c>
      <c r="AU430" s="122" t="s">
        <v>81</v>
      </c>
      <c r="AY430" s="116" t="s">
        <v>141</v>
      </c>
      <c r="BK430" s="123">
        <f>SUM(BK431:BK434)</f>
        <v>70608</v>
      </c>
    </row>
    <row r="431" spans="2:65" s="1" customFormat="1" ht="24.2" customHeight="1">
      <c r="B431" s="126"/>
      <c r="C431" s="127" t="s">
        <v>1120</v>
      </c>
      <c r="D431" s="127" t="s">
        <v>144</v>
      </c>
      <c r="E431" s="128" t="s">
        <v>1121</v>
      </c>
      <c r="F431" s="129" t="s">
        <v>1122</v>
      </c>
      <c r="G431" s="130" t="s">
        <v>1111</v>
      </c>
      <c r="H431" s="131">
        <v>1</v>
      </c>
      <c r="I431" s="132">
        <v>59520</v>
      </c>
      <c r="J431" s="132">
        <f>ROUND(I431*H431,2)</f>
        <v>59520</v>
      </c>
      <c r="K431" s="129" t="s">
        <v>148</v>
      </c>
      <c r="L431" s="27"/>
      <c r="M431" s="133" t="s">
        <v>1</v>
      </c>
      <c r="N431" s="134" t="s">
        <v>39</v>
      </c>
      <c r="O431" s="135">
        <v>0</v>
      </c>
      <c r="P431" s="135">
        <f>O431*H431</f>
        <v>0</v>
      </c>
      <c r="Q431" s="135">
        <v>0</v>
      </c>
      <c r="R431" s="135">
        <f>Q431*H431</f>
        <v>0</v>
      </c>
      <c r="S431" s="135">
        <v>0</v>
      </c>
      <c r="T431" s="136">
        <f>S431*H431</f>
        <v>0</v>
      </c>
      <c r="AR431" s="137" t="s">
        <v>1112</v>
      </c>
      <c r="AT431" s="137" t="s">
        <v>144</v>
      </c>
      <c r="AU431" s="137" t="s">
        <v>143</v>
      </c>
      <c r="AY431" s="15" t="s">
        <v>141</v>
      </c>
      <c r="BE431" s="138">
        <f>IF(N431="základní",J431,0)</f>
        <v>0</v>
      </c>
      <c r="BF431" s="138">
        <f>IF(N431="snížená",J431,0)</f>
        <v>59520</v>
      </c>
      <c r="BG431" s="138">
        <f>IF(N431="zákl. přenesená",J431,0)</f>
        <v>0</v>
      </c>
      <c r="BH431" s="138">
        <f>IF(N431="sníž. přenesená",J431,0)</f>
        <v>0</v>
      </c>
      <c r="BI431" s="138">
        <f>IF(N431="nulová",J431,0)</f>
        <v>0</v>
      </c>
      <c r="BJ431" s="15" t="s">
        <v>143</v>
      </c>
      <c r="BK431" s="138">
        <f>ROUND(I431*H431,2)</f>
        <v>59520</v>
      </c>
      <c r="BL431" s="15" t="s">
        <v>1112</v>
      </c>
      <c r="BM431" s="137" t="s">
        <v>1123</v>
      </c>
    </row>
    <row r="432" spans="2:65" s="1" customFormat="1" ht="16.5" customHeight="1">
      <c r="B432" s="126"/>
      <c r="C432" s="127" t="s">
        <v>1124</v>
      </c>
      <c r="D432" s="127" t="s">
        <v>144</v>
      </c>
      <c r="E432" s="128" t="s">
        <v>1125</v>
      </c>
      <c r="F432" s="129" t="s">
        <v>1126</v>
      </c>
      <c r="G432" s="130" t="s">
        <v>1111</v>
      </c>
      <c r="H432" s="131">
        <v>1</v>
      </c>
      <c r="I432" s="132">
        <v>4128</v>
      </c>
      <c r="J432" s="132">
        <f>ROUND(I432*H432,2)</f>
        <v>4128</v>
      </c>
      <c r="K432" s="129" t="s">
        <v>148</v>
      </c>
      <c r="L432" s="27"/>
      <c r="M432" s="133" t="s">
        <v>1</v>
      </c>
      <c r="N432" s="134" t="s">
        <v>39</v>
      </c>
      <c r="O432" s="135">
        <v>0</v>
      </c>
      <c r="P432" s="135">
        <f>O432*H432</f>
        <v>0</v>
      </c>
      <c r="Q432" s="135">
        <v>0</v>
      </c>
      <c r="R432" s="135">
        <f>Q432*H432</f>
        <v>0</v>
      </c>
      <c r="S432" s="135">
        <v>0</v>
      </c>
      <c r="T432" s="136">
        <f>S432*H432</f>
        <v>0</v>
      </c>
      <c r="AR432" s="137" t="s">
        <v>1112</v>
      </c>
      <c r="AT432" s="137" t="s">
        <v>144</v>
      </c>
      <c r="AU432" s="137" t="s">
        <v>143</v>
      </c>
      <c r="AY432" s="15" t="s">
        <v>141</v>
      </c>
      <c r="BE432" s="138">
        <f>IF(N432="základní",J432,0)</f>
        <v>0</v>
      </c>
      <c r="BF432" s="138">
        <f>IF(N432="snížená",J432,0)</f>
        <v>4128</v>
      </c>
      <c r="BG432" s="138">
        <f>IF(N432="zákl. přenesená",J432,0)</f>
        <v>0</v>
      </c>
      <c r="BH432" s="138">
        <f>IF(N432="sníž. přenesená",J432,0)</f>
        <v>0</v>
      </c>
      <c r="BI432" s="138">
        <f>IF(N432="nulová",J432,0)</f>
        <v>0</v>
      </c>
      <c r="BJ432" s="15" t="s">
        <v>143</v>
      </c>
      <c r="BK432" s="138">
        <f>ROUND(I432*H432,2)</f>
        <v>4128</v>
      </c>
      <c r="BL432" s="15" t="s">
        <v>1112</v>
      </c>
      <c r="BM432" s="137" t="s">
        <v>1127</v>
      </c>
    </row>
    <row r="433" spans="2:65" s="1" customFormat="1" ht="24.2" customHeight="1">
      <c r="B433" s="126"/>
      <c r="C433" s="127" t="s">
        <v>1128</v>
      </c>
      <c r="D433" s="127" t="s">
        <v>144</v>
      </c>
      <c r="E433" s="128" t="s">
        <v>1129</v>
      </c>
      <c r="F433" s="129" t="s">
        <v>1130</v>
      </c>
      <c r="G433" s="130" t="s">
        <v>1111</v>
      </c>
      <c r="H433" s="131">
        <v>1</v>
      </c>
      <c r="I433" s="132">
        <v>5760</v>
      </c>
      <c r="J433" s="132">
        <f>ROUND(I433*H433,2)</f>
        <v>5760</v>
      </c>
      <c r="K433" s="129" t="s">
        <v>148</v>
      </c>
      <c r="L433" s="27"/>
      <c r="M433" s="133" t="s">
        <v>1</v>
      </c>
      <c r="N433" s="134" t="s">
        <v>39</v>
      </c>
      <c r="O433" s="135">
        <v>0</v>
      </c>
      <c r="P433" s="135">
        <f>O433*H433</f>
        <v>0</v>
      </c>
      <c r="Q433" s="135">
        <v>0</v>
      </c>
      <c r="R433" s="135">
        <f>Q433*H433</f>
        <v>0</v>
      </c>
      <c r="S433" s="135">
        <v>0</v>
      </c>
      <c r="T433" s="136">
        <f>S433*H433</f>
        <v>0</v>
      </c>
      <c r="AR433" s="137" t="s">
        <v>1112</v>
      </c>
      <c r="AT433" s="137" t="s">
        <v>144</v>
      </c>
      <c r="AU433" s="137" t="s">
        <v>143</v>
      </c>
      <c r="AY433" s="15" t="s">
        <v>141</v>
      </c>
      <c r="BE433" s="138">
        <f>IF(N433="základní",J433,0)</f>
        <v>0</v>
      </c>
      <c r="BF433" s="138">
        <f>IF(N433="snížená",J433,0)</f>
        <v>5760</v>
      </c>
      <c r="BG433" s="138">
        <f>IF(N433="zákl. přenesená",J433,0)</f>
        <v>0</v>
      </c>
      <c r="BH433" s="138">
        <f>IF(N433="sníž. přenesená",J433,0)</f>
        <v>0</v>
      </c>
      <c r="BI433" s="138">
        <f>IF(N433="nulová",J433,0)</f>
        <v>0</v>
      </c>
      <c r="BJ433" s="15" t="s">
        <v>143</v>
      </c>
      <c r="BK433" s="138">
        <f>ROUND(I433*H433,2)</f>
        <v>5760</v>
      </c>
      <c r="BL433" s="15" t="s">
        <v>1112</v>
      </c>
      <c r="BM433" s="137" t="s">
        <v>1131</v>
      </c>
    </row>
    <row r="434" spans="2:65" s="1" customFormat="1" ht="16.5" customHeight="1">
      <c r="B434" s="126"/>
      <c r="C434" s="127" t="s">
        <v>1132</v>
      </c>
      <c r="D434" s="127" t="s">
        <v>144</v>
      </c>
      <c r="E434" s="128" t="s">
        <v>1133</v>
      </c>
      <c r="F434" s="129" t="s">
        <v>1134</v>
      </c>
      <c r="G434" s="130" t="s">
        <v>1111</v>
      </c>
      <c r="H434" s="131">
        <v>1</v>
      </c>
      <c r="I434" s="132">
        <v>1200</v>
      </c>
      <c r="J434" s="132">
        <f>ROUND(I434*H434,2)</f>
        <v>1200</v>
      </c>
      <c r="K434" s="129" t="s">
        <v>148</v>
      </c>
      <c r="L434" s="27"/>
      <c r="M434" s="133" t="s">
        <v>1</v>
      </c>
      <c r="N434" s="134" t="s">
        <v>39</v>
      </c>
      <c r="O434" s="135">
        <v>0</v>
      </c>
      <c r="P434" s="135">
        <f>O434*H434</f>
        <v>0</v>
      </c>
      <c r="Q434" s="135">
        <v>0</v>
      </c>
      <c r="R434" s="135">
        <f>Q434*H434</f>
        <v>0</v>
      </c>
      <c r="S434" s="135">
        <v>0</v>
      </c>
      <c r="T434" s="136">
        <f>S434*H434</f>
        <v>0</v>
      </c>
      <c r="AR434" s="137" t="s">
        <v>1112</v>
      </c>
      <c r="AT434" s="137" t="s">
        <v>144</v>
      </c>
      <c r="AU434" s="137" t="s">
        <v>143</v>
      </c>
      <c r="AY434" s="15" t="s">
        <v>141</v>
      </c>
      <c r="BE434" s="138">
        <f>IF(N434="základní",J434,0)</f>
        <v>0</v>
      </c>
      <c r="BF434" s="138">
        <f>IF(N434="snížená",J434,0)</f>
        <v>1200</v>
      </c>
      <c r="BG434" s="138">
        <f>IF(N434="zákl. přenesená",J434,0)</f>
        <v>0</v>
      </c>
      <c r="BH434" s="138">
        <f>IF(N434="sníž. přenesená",J434,0)</f>
        <v>0</v>
      </c>
      <c r="BI434" s="138">
        <f>IF(N434="nulová",J434,0)</f>
        <v>0</v>
      </c>
      <c r="BJ434" s="15" t="s">
        <v>143</v>
      </c>
      <c r="BK434" s="138">
        <f>ROUND(I434*H434,2)</f>
        <v>1200</v>
      </c>
      <c r="BL434" s="15" t="s">
        <v>1112</v>
      </c>
      <c r="BM434" s="137" t="s">
        <v>1135</v>
      </c>
    </row>
    <row r="435" spans="2:65" s="11" customFormat="1" ht="22.9" customHeight="1">
      <c r="B435" s="115"/>
      <c r="D435" s="116" t="s">
        <v>72</v>
      </c>
      <c r="E435" s="124" t="s">
        <v>1136</v>
      </c>
      <c r="F435" s="124" t="s">
        <v>1137</v>
      </c>
      <c r="J435" s="125">
        <f>BK435</f>
        <v>6336</v>
      </c>
      <c r="L435" s="115"/>
      <c r="M435" s="119"/>
      <c r="P435" s="120">
        <f>P436</f>
        <v>0</v>
      </c>
      <c r="R435" s="120">
        <f>R436</f>
        <v>0</v>
      </c>
      <c r="T435" s="121">
        <f>T436</f>
        <v>0</v>
      </c>
      <c r="AR435" s="116" t="s">
        <v>159</v>
      </c>
      <c r="AT435" s="122" t="s">
        <v>72</v>
      </c>
      <c r="AU435" s="122" t="s">
        <v>81</v>
      </c>
      <c r="AY435" s="116" t="s">
        <v>141</v>
      </c>
      <c r="BK435" s="123">
        <f>BK436</f>
        <v>6336</v>
      </c>
    </row>
    <row r="436" spans="2:65" s="1" customFormat="1" ht="16.5" customHeight="1">
      <c r="B436" s="126"/>
      <c r="C436" s="127" t="s">
        <v>1138</v>
      </c>
      <c r="D436" s="127" t="s">
        <v>144</v>
      </c>
      <c r="E436" s="128" t="s">
        <v>1139</v>
      </c>
      <c r="F436" s="129" t="s">
        <v>1140</v>
      </c>
      <c r="G436" s="130" t="s">
        <v>1111</v>
      </c>
      <c r="H436" s="131">
        <v>1</v>
      </c>
      <c r="I436" s="132">
        <v>6336</v>
      </c>
      <c r="J436" s="132">
        <f>ROUND(I436*H436,2)</f>
        <v>6336</v>
      </c>
      <c r="K436" s="129" t="s">
        <v>148</v>
      </c>
      <c r="L436" s="27"/>
      <c r="M436" s="155" t="s">
        <v>1</v>
      </c>
      <c r="N436" s="156" t="s">
        <v>39</v>
      </c>
      <c r="O436" s="157">
        <v>0</v>
      </c>
      <c r="P436" s="157">
        <f>O436*H436</f>
        <v>0</v>
      </c>
      <c r="Q436" s="157">
        <v>0</v>
      </c>
      <c r="R436" s="157">
        <f>Q436*H436</f>
        <v>0</v>
      </c>
      <c r="S436" s="157">
        <v>0</v>
      </c>
      <c r="T436" s="158">
        <f>S436*H436</f>
        <v>0</v>
      </c>
      <c r="AR436" s="137" t="s">
        <v>1112</v>
      </c>
      <c r="AT436" s="137" t="s">
        <v>144</v>
      </c>
      <c r="AU436" s="137" t="s">
        <v>143</v>
      </c>
      <c r="AY436" s="15" t="s">
        <v>141</v>
      </c>
      <c r="BE436" s="138">
        <f>IF(N436="základní",J436,0)</f>
        <v>0</v>
      </c>
      <c r="BF436" s="138">
        <f>IF(N436="snížená",J436,0)</f>
        <v>6336</v>
      </c>
      <c r="BG436" s="138">
        <f>IF(N436="zákl. přenesená",J436,0)</f>
        <v>0</v>
      </c>
      <c r="BH436" s="138">
        <f>IF(N436="sníž. přenesená",J436,0)</f>
        <v>0</v>
      </c>
      <c r="BI436" s="138">
        <f>IF(N436="nulová",J436,0)</f>
        <v>0</v>
      </c>
      <c r="BJ436" s="15" t="s">
        <v>143</v>
      </c>
      <c r="BK436" s="138">
        <f>ROUND(I436*H436,2)</f>
        <v>6336</v>
      </c>
      <c r="BL436" s="15" t="s">
        <v>1112</v>
      </c>
      <c r="BM436" s="137" t="s">
        <v>1141</v>
      </c>
    </row>
    <row r="437" spans="2:65" s="1" customFormat="1" ht="6.95" customHeight="1">
      <c r="B437" s="39"/>
      <c r="C437" s="40"/>
      <c r="D437" s="40"/>
      <c r="E437" s="40"/>
      <c r="F437" s="40"/>
      <c r="G437" s="40"/>
      <c r="H437" s="40"/>
      <c r="I437" s="40"/>
      <c r="J437" s="40"/>
      <c r="K437" s="40"/>
      <c r="L437" s="27"/>
    </row>
  </sheetData>
  <autoFilter ref="C144:K436" xr:uid="{00000000-0009-0000-0000-000002000000}"/>
  <mergeCells count="8">
    <mergeCell ref="E135:H135"/>
    <mergeCell ref="E137:H137"/>
    <mergeCell ref="L2:V2"/>
    <mergeCell ref="E7:H7"/>
    <mergeCell ref="E9:H9"/>
    <mergeCell ref="E27:H27"/>
    <mergeCell ref="E85:H85"/>
    <mergeCell ref="E87:H87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3BBB6D-D15C-479A-81A4-640A5A2509C1}">
  <sheetPr>
    <pageSetUpPr fitToPage="1"/>
  </sheetPr>
  <dimension ref="B2:BM266"/>
  <sheetViews>
    <sheetView showGridLines="0" topLeftCell="A17" workbookViewId="0">
      <selection activeCell="J30" sqref="J30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</cols>
  <sheetData>
    <row r="2" spans="2:46" ht="36.950000000000003" customHeight="1">
      <c r="L2" s="269" t="s">
        <v>5</v>
      </c>
      <c r="M2" s="250"/>
      <c r="N2" s="250"/>
      <c r="O2" s="250"/>
      <c r="P2" s="250"/>
      <c r="Q2" s="250"/>
      <c r="R2" s="250"/>
      <c r="S2" s="250"/>
      <c r="T2" s="250"/>
      <c r="U2" s="250"/>
      <c r="V2" s="250"/>
      <c r="AT2" s="15" t="s">
        <v>2099</v>
      </c>
    </row>
    <row r="3" spans="2:46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81</v>
      </c>
    </row>
    <row r="4" spans="2:46" ht="24.95" customHeight="1">
      <c r="B4" s="18"/>
      <c r="D4" s="19" t="s">
        <v>89</v>
      </c>
      <c r="L4" s="18"/>
      <c r="M4" s="83" t="s">
        <v>10</v>
      </c>
      <c r="AT4" s="15" t="s">
        <v>3</v>
      </c>
    </row>
    <row r="5" spans="2:46" ht="6.95" customHeight="1">
      <c r="B5" s="18"/>
      <c r="L5" s="18"/>
    </row>
    <row r="6" spans="2:46" ht="12" customHeight="1">
      <c r="B6" s="18"/>
      <c r="D6" s="24" t="s">
        <v>14</v>
      </c>
      <c r="L6" s="18"/>
    </row>
    <row r="7" spans="2:46" ht="26.25" customHeight="1">
      <c r="B7" s="18"/>
      <c r="E7" s="283" t="s">
        <v>2465</v>
      </c>
      <c r="F7" s="284"/>
      <c r="G7" s="284"/>
      <c r="H7" s="284"/>
      <c r="L7" s="18"/>
    </row>
    <row r="8" spans="2:46" s="1" customFormat="1" ht="12" customHeight="1">
      <c r="B8" s="27"/>
      <c r="D8" s="24" t="s">
        <v>90</v>
      </c>
      <c r="L8" s="27"/>
    </row>
    <row r="9" spans="2:46" s="1" customFormat="1" ht="16.5" customHeight="1">
      <c r="B9" s="27"/>
      <c r="E9" s="270" t="s">
        <v>2098</v>
      </c>
      <c r="F9" s="285"/>
      <c r="G9" s="285"/>
      <c r="H9" s="285"/>
      <c r="L9" s="27"/>
    </row>
    <row r="10" spans="2:46" s="1" customFormat="1">
      <c r="B10" s="27"/>
      <c r="L10" s="27"/>
    </row>
    <row r="11" spans="2:46" s="1" customFormat="1" ht="12" customHeight="1">
      <c r="B11" s="27"/>
      <c r="D11" s="24" t="s">
        <v>16</v>
      </c>
      <c r="F11" s="22" t="s">
        <v>1</v>
      </c>
      <c r="I11" s="24" t="s">
        <v>17</v>
      </c>
      <c r="J11" s="22" t="s">
        <v>1</v>
      </c>
      <c r="L11" s="27"/>
    </row>
    <row r="12" spans="2:46" s="1" customFormat="1" ht="12" customHeight="1">
      <c r="B12" s="27"/>
      <c r="D12" s="24" t="s">
        <v>18</v>
      </c>
      <c r="F12" s="22" t="s">
        <v>1514</v>
      </c>
      <c r="I12" s="24" t="s">
        <v>20</v>
      </c>
      <c r="J12" s="47" t="s">
        <v>2466</v>
      </c>
      <c r="L12" s="27"/>
    </row>
    <row r="13" spans="2:46" s="1" customFormat="1" ht="10.9" customHeight="1">
      <c r="B13" s="27"/>
      <c r="L13" s="27"/>
    </row>
    <row r="14" spans="2:46" s="1" customFormat="1" ht="12" customHeight="1">
      <c r="B14" s="27"/>
      <c r="D14" s="24" t="s">
        <v>21</v>
      </c>
      <c r="I14" s="24" t="s">
        <v>22</v>
      </c>
      <c r="J14" s="22" t="s">
        <v>1</v>
      </c>
      <c r="L14" s="27"/>
    </row>
    <row r="15" spans="2:46" s="1" customFormat="1" ht="18" customHeight="1">
      <c r="B15" s="27"/>
      <c r="E15" s="22" t="s">
        <v>2467</v>
      </c>
      <c r="I15" s="24" t="s">
        <v>24</v>
      </c>
      <c r="J15" s="22" t="s">
        <v>1</v>
      </c>
      <c r="L15" s="27"/>
    </row>
    <row r="16" spans="2:46" s="1" customFormat="1" ht="6.95" customHeight="1">
      <c r="B16" s="27"/>
      <c r="L16" s="27"/>
    </row>
    <row r="17" spans="2:12" s="1" customFormat="1" ht="12" customHeight="1">
      <c r="B17" s="27"/>
      <c r="D17" s="24" t="s">
        <v>25</v>
      </c>
      <c r="I17" s="24" t="s">
        <v>22</v>
      </c>
      <c r="J17" s="22" t="s">
        <v>1</v>
      </c>
      <c r="L17" s="27"/>
    </row>
    <row r="18" spans="2:12" s="1" customFormat="1" ht="18" customHeight="1">
      <c r="B18" s="27"/>
      <c r="E18" s="249" t="s">
        <v>2467</v>
      </c>
      <c r="F18" s="249"/>
      <c r="G18" s="249"/>
      <c r="H18" s="249"/>
      <c r="I18" s="24" t="s">
        <v>24</v>
      </c>
      <c r="J18" s="22" t="s">
        <v>1</v>
      </c>
      <c r="L18" s="27"/>
    </row>
    <row r="19" spans="2:12" s="1" customFormat="1" ht="6.95" customHeight="1">
      <c r="B19" s="27"/>
      <c r="L19" s="27"/>
    </row>
    <row r="20" spans="2:12" s="1" customFormat="1" ht="12" customHeight="1">
      <c r="B20" s="27"/>
      <c r="D20" s="24" t="s">
        <v>27</v>
      </c>
      <c r="I20" s="24" t="s">
        <v>22</v>
      </c>
      <c r="J20" s="22" t="s">
        <v>1</v>
      </c>
      <c r="L20" s="27"/>
    </row>
    <row r="21" spans="2:12" s="1" customFormat="1" ht="18" customHeight="1">
      <c r="B21" s="27"/>
      <c r="E21" s="22" t="s">
        <v>2467</v>
      </c>
      <c r="I21" s="24" t="s">
        <v>24</v>
      </c>
      <c r="J21" s="22" t="s">
        <v>1</v>
      </c>
      <c r="L21" s="27"/>
    </row>
    <row r="22" spans="2:12" s="1" customFormat="1" ht="6.95" customHeight="1">
      <c r="B22" s="27"/>
      <c r="L22" s="27"/>
    </row>
    <row r="23" spans="2:12" s="1" customFormat="1" ht="12" customHeight="1">
      <c r="B23" s="27"/>
      <c r="D23" s="24" t="s">
        <v>30</v>
      </c>
      <c r="I23" s="24" t="s">
        <v>22</v>
      </c>
      <c r="J23" s="22" t="s">
        <v>1</v>
      </c>
      <c r="L23" s="27"/>
    </row>
    <row r="24" spans="2:12" s="1" customFormat="1" ht="18" customHeight="1">
      <c r="B24" s="27"/>
      <c r="E24" s="22" t="s">
        <v>2467</v>
      </c>
      <c r="I24" s="24" t="s">
        <v>24</v>
      </c>
      <c r="J24" s="22" t="s">
        <v>1</v>
      </c>
      <c r="L24" s="27"/>
    </row>
    <row r="25" spans="2:12" s="1" customFormat="1" ht="6.95" customHeight="1">
      <c r="B25" s="27"/>
      <c r="L25" s="27"/>
    </row>
    <row r="26" spans="2:12" s="1" customFormat="1" ht="12" customHeight="1">
      <c r="B26" s="27"/>
      <c r="D26" s="24" t="s">
        <v>32</v>
      </c>
      <c r="L26" s="27"/>
    </row>
    <row r="27" spans="2:12" s="7" customFormat="1" ht="16.5" customHeight="1">
      <c r="B27" s="84"/>
      <c r="E27" s="252" t="s">
        <v>1</v>
      </c>
      <c r="F27" s="252"/>
      <c r="G27" s="252"/>
      <c r="H27" s="252"/>
      <c r="L27" s="84"/>
    </row>
    <row r="28" spans="2:12" s="1" customFormat="1" ht="6.95" customHeight="1">
      <c r="B28" s="27"/>
      <c r="L28" s="27"/>
    </row>
    <row r="29" spans="2:12" s="1" customFormat="1" ht="6.95" customHeight="1">
      <c r="B29" s="27"/>
      <c r="D29" s="48"/>
      <c r="E29" s="48"/>
      <c r="F29" s="48"/>
      <c r="G29" s="48"/>
      <c r="H29" s="48"/>
      <c r="I29" s="48"/>
      <c r="J29" s="48"/>
      <c r="K29" s="48"/>
      <c r="L29" s="27"/>
    </row>
    <row r="30" spans="2:12" s="1" customFormat="1" ht="25.35" customHeight="1">
      <c r="B30" s="27"/>
      <c r="D30" s="85" t="s">
        <v>33</v>
      </c>
      <c r="J30" s="61">
        <f>ROUND(J128, 2)</f>
        <v>1777566.48</v>
      </c>
      <c r="L30" s="27"/>
    </row>
    <row r="31" spans="2:12" s="1" customFormat="1" ht="6.95" customHeight="1">
      <c r="B31" s="27"/>
      <c r="D31" s="48"/>
      <c r="E31" s="48"/>
      <c r="F31" s="48"/>
      <c r="G31" s="48"/>
      <c r="H31" s="48"/>
      <c r="I31" s="48"/>
      <c r="J31" s="48"/>
      <c r="K31" s="48"/>
      <c r="L31" s="27"/>
    </row>
    <row r="32" spans="2:12" s="1" customFormat="1" ht="14.45" customHeight="1">
      <c r="B32" s="27"/>
      <c r="F32" s="30" t="s">
        <v>35</v>
      </c>
      <c r="I32" s="30" t="s">
        <v>34</v>
      </c>
      <c r="J32" s="30" t="s">
        <v>36</v>
      </c>
      <c r="L32" s="27"/>
    </row>
    <row r="33" spans="2:12" s="1" customFormat="1" ht="14.45" customHeight="1">
      <c r="B33" s="27"/>
      <c r="D33" s="50" t="s">
        <v>37</v>
      </c>
      <c r="E33" s="24" t="s">
        <v>38</v>
      </c>
      <c r="F33" s="86">
        <f>ROUND((SUM(BE128:BE265)),  2)</f>
        <v>0</v>
      </c>
      <c r="I33" s="87">
        <v>0.21</v>
      </c>
      <c r="J33" s="86">
        <f>ROUND(((SUM(BE128:BE265))*I33),  2)</f>
        <v>0</v>
      </c>
      <c r="L33" s="27"/>
    </row>
    <row r="34" spans="2:12" s="1" customFormat="1" ht="14.45" customHeight="1">
      <c r="B34" s="27"/>
      <c r="E34" s="24" t="s">
        <v>39</v>
      </c>
      <c r="F34" s="86">
        <f>ROUND((SUM(BF128:BF265)),  2)</f>
        <v>1777566.48</v>
      </c>
      <c r="I34" s="87">
        <v>0.15</v>
      </c>
      <c r="J34" s="86">
        <f>ROUND(((SUM(BF128:BF265))*I34),  2)</f>
        <v>266634.96999999997</v>
      </c>
      <c r="L34" s="27"/>
    </row>
    <row r="35" spans="2:12" s="1" customFormat="1" ht="14.45" hidden="1" customHeight="1">
      <c r="B35" s="27"/>
      <c r="E35" s="24" t="s">
        <v>40</v>
      </c>
      <c r="F35" s="86">
        <f>ROUND((SUM(BG128:BG265)),  2)</f>
        <v>0</v>
      </c>
      <c r="I35" s="87">
        <v>0.21</v>
      </c>
      <c r="J35" s="86">
        <f>0</f>
        <v>0</v>
      </c>
      <c r="L35" s="27"/>
    </row>
    <row r="36" spans="2:12" s="1" customFormat="1" ht="14.45" hidden="1" customHeight="1">
      <c r="B36" s="27"/>
      <c r="E36" s="24" t="s">
        <v>41</v>
      </c>
      <c r="F36" s="86">
        <f>ROUND((SUM(BH128:BH265)),  2)</f>
        <v>0</v>
      </c>
      <c r="I36" s="87">
        <v>0.15</v>
      </c>
      <c r="J36" s="86">
        <f>0</f>
        <v>0</v>
      </c>
      <c r="L36" s="27"/>
    </row>
    <row r="37" spans="2:12" s="1" customFormat="1" ht="14.45" hidden="1" customHeight="1">
      <c r="B37" s="27"/>
      <c r="E37" s="24" t="s">
        <v>42</v>
      </c>
      <c r="F37" s="86">
        <f>ROUND((SUM(BI128:BI265)),  2)</f>
        <v>0</v>
      </c>
      <c r="I37" s="87">
        <v>0</v>
      </c>
      <c r="J37" s="86">
        <f>0</f>
        <v>0</v>
      </c>
      <c r="L37" s="27"/>
    </row>
    <row r="38" spans="2:12" s="1" customFormat="1" ht="6.95" customHeight="1">
      <c r="B38" s="27"/>
      <c r="L38" s="27"/>
    </row>
    <row r="39" spans="2:12" s="1" customFormat="1" ht="25.35" customHeight="1">
      <c r="B39" s="27"/>
      <c r="C39" s="88"/>
      <c r="D39" s="89" t="s">
        <v>43</v>
      </c>
      <c r="E39" s="52"/>
      <c r="F39" s="52"/>
      <c r="G39" s="90" t="s">
        <v>44</v>
      </c>
      <c r="H39" s="91" t="s">
        <v>45</v>
      </c>
      <c r="I39" s="52"/>
      <c r="J39" s="92">
        <f>SUM(J30:J37)</f>
        <v>2044201.45</v>
      </c>
      <c r="K39" s="93"/>
      <c r="L39" s="27"/>
    </row>
    <row r="40" spans="2:12" s="1" customFormat="1" ht="14.45" customHeight="1">
      <c r="B40" s="27"/>
      <c r="L40" s="27"/>
    </row>
    <row r="41" spans="2:12" ht="14.45" customHeight="1">
      <c r="B41" s="18"/>
      <c r="L41" s="18"/>
    </row>
    <row r="42" spans="2:12" ht="14.45" customHeight="1">
      <c r="B42" s="18"/>
      <c r="L42" s="18"/>
    </row>
    <row r="43" spans="2:12" ht="14.45" customHeight="1">
      <c r="B43" s="18"/>
      <c r="L43" s="18"/>
    </row>
    <row r="44" spans="2:12" ht="14.45" customHeight="1">
      <c r="B44" s="18"/>
      <c r="L44" s="18"/>
    </row>
    <row r="45" spans="2:12" ht="14.45" customHeight="1">
      <c r="B45" s="18"/>
      <c r="L45" s="18"/>
    </row>
    <row r="46" spans="2:12" ht="14.45" customHeight="1">
      <c r="B46" s="18"/>
      <c r="L46" s="18"/>
    </row>
    <row r="47" spans="2:12" ht="14.45" customHeight="1">
      <c r="B47" s="18"/>
      <c r="L47" s="18"/>
    </row>
    <row r="48" spans="2:12" ht="14.45" customHeight="1">
      <c r="B48" s="18"/>
      <c r="L48" s="18"/>
    </row>
    <row r="49" spans="2:12" ht="14.45" customHeight="1">
      <c r="B49" s="18"/>
      <c r="L49" s="18"/>
    </row>
    <row r="50" spans="2:12" s="1" customFormat="1" ht="14.45" customHeight="1">
      <c r="B50" s="27"/>
      <c r="D50" s="36" t="s">
        <v>46</v>
      </c>
      <c r="E50" s="37"/>
      <c r="F50" s="37"/>
      <c r="G50" s="36" t="s">
        <v>47</v>
      </c>
      <c r="H50" s="37"/>
      <c r="I50" s="37"/>
      <c r="J50" s="37"/>
      <c r="K50" s="37"/>
      <c r="L50" s="27"/>
    </row>
    <row r="51" spans="2:12">
      <c r="B51" s="18"/>
      <c r="L51" s="18"/>
    </row>
    <row r="52" spans="2:12">
      <c r="B52" s="18"/>
      <c r="L52" s="18"/>
    </row>
    <row r="53" spans="2:12">
      <c r="B53" s="18"/>
      <c r="L53" s="18"/>
    </row>
    <row r="54" spans="2:12">
      <c r="B54" s="18"/>
      <c r="L54" s="18"/>
    </row>
    <row r="55" spans="2:12">
      <c r="B55" s="18"/>
      <c r="L55" s="18"/>
    </row>
    <row r="56" spans="2:12">
      <c r="B56" s="18"/>
      <c r="L56" s="18"/>
    </row>
    <row r="57" spans="2:12">
      <c r="B57" s="18"/>
      <c r="L57" s="18"/>
    </row>
    <row r="58" spans="2:12">
      <c r="B58" s="18"/>
      <c r="L58" s="18"/>
    </row>
    <row r="59" spans="2:12">
      <c r="B59" s="18"/>
      <c r="L59" s="18"/>
    </row>
    <row r="60" spans="2:12">
      <c r="B60" s="18"/>
      <c r="L60" s="18"/>
    </row>
    <row r="61" spans="2:12" s="1" customFormat="1" ht="12.75">
      <c r="B61" s="27"/>
      <c r="D61" s="38" t="s">
        <v>48</v>
      </c>
      <c r="E61" s="29"/>
      <c r="F61" s="94" t="s">
        <v>49</v>
      </c>
      <c r="G61" s="38" t="s">
        <v>48</v>
      </c>
      <c r="H61" s="29"/>
      <c r="I61" s="29"/>
      <c r="J61" s="95" t="s">
        <v>49</v>
      </c>
      <c r="K61" s="29"/>
      <c r="L61" s="27"/>
    </row>
    <row r="62" spans="2:12">
      <c r="B62" s="18"/>
      <c r="L62" s="18"/>
    </row>
    <row r="63" spans="2:12">
      <c r="B63" s="18"/>
      <c r="L63" s="18"/>
    </row>
    <row r="64" spans="2:12">
      <c r="B64" s="18"/>
      <c r="L64" s="18"/>
    </row>
    <row r="65" spans="2:12" s="1" customFormat="1" ht="12.75">
      <c r="B65" s="27"/>
      <c r="D65" s="36" t="s">
        <v>50</v>
      </c>
      <c r="E65" s="37"/>
      <c r="F65" s="37"/>
      <c r="G65" s="36" t="s">
        <v>51</v>
      </c>
      <c r="H65" s="37"/>
      <c r="I65" s="37"/>
      <c r="J65" s="37"/>
      <c r="K65" s="37"/>
      <c r="L65" s="27"/>
    </row>
    <row r="66" spans="2:12">
      <c r="B66" s="18"/>
      <c r="L66" s="18"/>
    </row>
    <row r="67" spans="2:12">
      <c r="B67" s="18"/>
      <c r="L67" s="18"/>
    </row>
    <row r="68" spans="2:12">
      <c r="B68" s="18"/>
      <c r="L68" s="18"/>
    </row>
    <row r="69" spans="2:12">
      <c r="B69" s="18"/>
      <c r="L69" s="18"/>
    </row>
    <row r="70" spans="2:12">
      <c r="B70" s="18"/>
      <c r="L70" s="18"/>
    </row>
    <row r="71" spans="2:12">
      <c r="B71" s="18"/>
      <c r="L71" s="18"/>
    </row>
    <row r="72" spans="2:12">
      <c r="B72" s="18"/>
      <c r="L72" s="18"/>
    </row>
    <row r="73" spans="2:12">
      <c r="B73" s="18"/>
      <c r="L73" s="18"/>
    </row>
    <row r="74" spans="2:12">
      <c r="B74" s="18"/>
      <c r="L74" s="18"/>
    </row>
    <row r="75" spans="2:12">
      <c r="B75" s="18"/>
      <c r="L75" s="18"/>
    </row>
    <row r="76" spans="2:12" s="1" customFormat="1" ht="12.75">
      <c r="B76" s="27"/>
      <c r="D76" s="38" t="s">
        <v>48</v>
      </c>
      <c r="E76" s="29"/>
      <c r="F76" s="94" t="s">
        <v>49</v>
      </c>
      <c r="G76" s="38" t="s">
        <v>48</v>
      </c>
      <c r="H76" s="29"/>
      <c r="I76" s="29"/>
      <c r="J76" s="95" t="s">
        <v>49</v>
      </c>
      <c r="K76" s="29"/>
      <c r="L76" s="27"/>
    </row>
    <row r="77" spans="2:12" s="1" customFormat="1" ht="14.45" customHeight="1"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27"/>
    </row>
    <row r="81" spans="2:47" s="1" customFormat="1" ht="6.95" customHeight="1"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27"/>
    </row>
    <row r="82" spans="2:47" s="1" customFormat="1" ht="24.95" customHeight="1">
      <c r="B82" s="27"/>
      <c r="C82" s="19" t="s">
        <v>92</v>
      </c>
      <c r="L82" s="27"/>
    </row>
    <row r="83" spans="2:47" s="1" customFormat="1" ht="6.95" customHeight="1">
      <c r="B83" s="27"/>
      <c r="L83" s="27"/>
    </row>
    <row r="84" spans="2:47" s="1" customFormat="1" ht="12" customHeight="1">
      <c r="B84" s="27"/>
      <c r="C84" s="24" t="s">
        <v>14</v>
      </c>
      <c r="L84" s="27"/>
    </row>
    <row r="85" spans="2:47" s="1" customFormat="1" ht="26.25" customHeight="1">
      <c r="B85" s="27"/>
      <c r="E85" s="283" t="str">
        <f>E7</f>
        <v>Rozvoj komunitních sociálních služeb DOZP v lokalitě Jičín - aktualizace PD - změna PD 11/2022</v>
      </c>
      <c r="F85" s="284"/>
      <c r="G85" s="284"/>
      <c r="H85" s="284"/>
      <c r="L85" s="27"/>
    </row>
    <row r="86" spans="2:47" s="1" customFormat="1" ht="12" customHeight="1">
      <c r="B86" s="27"/>
      <c r="C86" s="24" t="s">
        <v>90</v>
      </c>
      <c r="L86" s="27"/>
    </row>
    <row r="87" spans="2:47" s="1" customFormat="1" ht="16.5" customHeight="1">
      <c r="B87" s="27"/>
      <c r="E87" s="270" t="str">
        <f>E9</f>
        <v>Objekt B - e - Zdravotní technika</v>
      </c>
      <c r="F87" s="285"/>
      <c r="G87" s="285"/>
      <c r="H87" s="285"/>
      <c r="L87" s="27"/>
    </row>
    <row r="88" spans="2:47" s="1" customFormat="1" ht="6.95" customHeight="1">
      <c r="B88" s="27"/>
      <c r="L88" s="27"/>
    </row>
    <row r="89" spans="2:47" s="1" customFormat="1" ht="12" customHeight="1">
      <c r="B89" s="27"/>
      <c r="C89" s="24" t="s">
        <v>18</v>
      </c>
      <c r="F89" s="22" t="str">
        <f>F12</f>
        <v>Jičín</v>
      </c>
      <c r="I89" s="24" t="s">
        <v>20</v>
      </c>
      <c r="J89" s="47" t="str">
        <f>IF(J12="","",J12)</f>
        <v>15. 3. 2022</v>
      </c>
      <c r="L89" s="27"/>
    </row>
    <row r="90" spans="2:47" s="1" customFormat="1" ht="6.95" customHeight="1">
      <c r="B90" s="27"/>
      <c r="L90" s="27"/>
    </row>
    <row r="91" spans="2:47" s="1" customFormat="1" ht="15.2" customHeight="1">
      <c r="B91" s="27"/>
      <c r="C91" s="24" t="s">
        <v>21</v>
      </c>
      <c r="F91" s="22" t="str">
        <f>E15</f>
        <v xml:space="preserve"> </v>
      </c>
      <c r="I91" s="24" t="s">
        <v>27</v>
      </c>
      <c r="J91" s="25" t="str">
        <f>E21</f>
        <v xml:space="preserve"> </v>
      </c>
      <c r="L91" s="27"/>
    </row>
    <row r="92" spans="2:47" s="1" customFormat="1" ht="15.2" customHeight="1">
      <c r="B92" s="27"/>
      <c r="C92" s="24" t="s">
        <v>25</v>
      </c>
      <c r="F92" s="22" t="str">
        <f>IF(E18="","",E18)</f>
        <v xml:space="preserve"> </v>
      </c>
      <c r="I92" s="24" t="s">
        <v>30</v>
      </c>
      <c r="J92" s="25" t="str">
        <f>E24</f>
        <v xml:space="preserve"> </v>
      </c>
      <c r="L92" s="27"/>
    </row>
    <row r="93" spans="2:47" s="1" customFormat="1" ht="10.35" customHeight="1">
      <c r="B93" s="27"/>
      <c r="L93" s="27"/>
    </row>
    <row r="94" spans="2:47" s="1" customFormat="1" ht="29.25" customHeight="1">
      <c r="B94" s="27"/>
      <c r="C94" s="96" t="s">
        <v>93</v>
      </c>
      <c r="D94" s="88"/>
      <c r="E94" s="88"/>
      <c r="F94" s="88"/>
      <c r="G94" s="88"/>
      <c r="H94" s="88"/>
      <c r="I94" s="88"/>
      <c r="J94" s="97" t="s">
        <v>94</v>
      </c>
      <c r="K94" s="88"/>
      <c r="L94" s="27"/>
    </row>
    <row r="95" spans="2:47" s="1" customFormat="1" ht="10.35" customHeight="1">
      <c r="B95" s="27"/>
      <c r="L95" s="27"/>
    </row>
    <row r="96" spans="2:47" s="1" customFormat="1" ht="22.9" customHeight="1">
      <c r="B96" s="27"/>
      <c r="C96" s="98" t="s">
        <v>95</v>
      </c>
      <c r="J96" s="61">
        <f>J128</f>
        <v>1777566.4800000002</v>
      </c>
      <c r="L96" s="27"/>
      <c r="AU96" s="15" t="s">
        <v>96</v>
      </c>
    </row>
    <row r="97" spans="2:12" s="8" customFormat="1" ht="24.95" customHeight="1">
      <c r="B97" s="99"/>
      <c r="D97" s="100" t="s">
        <v>2094</v>
      </c>
      <c r="E97" s="101"/>
      <c r="F97" s="101"/>
      <c r="G97" s="101"/>
      <c r="H97" s="101"/>
      <c r="I97" s="101"/>
      <c r="J97" s="102">
        <f>J129</f>
        <v>548712.60000000009</v>
      </c>
      <c r="L97" s="99"/>
    </row>
    <row r="98" spans="2:12" s="9" customFormat="1" ht="19.899999999999999" customHeight="1">
      <c r="B98" s="103"/>
      <c r="D98" s="104" t="s">
        <v>101</v>
      </c>
      <c r="E98" s="105"/>
      <c r="F98" s="105"/>
      <c r="G98" s="105"/>
      <c r="H98" s="105"/>
      <c r="I98" s="105"/>
      <c r="J98" s="106">
        <f>J153</f>
        <v>57646</v>
      </c>
      <c r="L98" s="103"/>
    </row>
    <row r="99" spans="2:12" s="9" customFormat="1" ht="19.899999999999999" customHeight="1">
      <c r="B99" s="103"/>
      <c r="D99" s="104" t="s">
        <v>102</v>
      </c>
      <c r="E99" s="105"/>
      <c r="F99" s="105"/>
      <c r="G99" s="105"/>
      <c r="H99" s="105"/>
      <c r="I99" s="105"/>
      <c r="J99" s="106">
        <f>J157</f>
        <v>5100</v>
      </c>
      <c r="L99" s="103"/>
    </row>
    <row r="100" spans="2:12" s="9" customFormat="1" ht="19.899999999999999" customHeight="1">
      <c r="B100" s="103"/>
      <c r="D100" s="104" t="s">
        <v>2093</v>
      </c>
      <c r="E100" s="105"/>
      <c r="F100" s="105"/>
      <c r="G100" s="105"/>
      <c r="H100" s="105"/>
      <c r="I100" s="105"/>
      <c r="J100" s="106">
        <f>J159</f>
        <v>305143.40000000002</v>
      </c>
      <c r="L100" s="103"/>
    </row>
    <row r="101" spans="2:12" s="8" customFormat="1" ht="24.95" customHeight="1">
      <c r="B101" s="99"/>
      <c r="D101" s="100" t="s">
        <v>105</v>
      </c>
      <c r="E101" s="101"/>
      <c r="F101" s="101"/>
      <c r="G101" s="101"/>
      <c r="H101" s="101"/>
      <c r="I101" s="101"/>
      <c r="J101" s="102">
        <f>J170</f>
        <v>1202153.8800000001</v>
      </c>
      <c r="L101" s="99"/>
    </row>
    <row r="102" spans="2:12" s="9" customFormat="1" ht="19.899999999999999" customHeight="1">
      <c r="B102" s="103"/>
      <c r="D102" s="104" t="s">
        <v>2092</v>
      </c>
      <c r="E102" s="105"/>
      <c r="F102" s="105"/>
      <c r="G102" s="105"/>
      <c r="H102" s="105"/>
      <c r="I102" s="105"/>
      <c r="J102" s="106">
        <f>J171</f>
        <v>434128.14</v>
      </c>
      <c r="L102" s="103"/>
    </row>
    <row r="103" spans="2:12" s="9" customFormat="1" ht="19.899999999999999" customHeight="1">
      <c r="B103" s="103"/>
      <c r="D103" s="104" t="s">
        <v>2091</v>
      </c>
      <c r="E103" s="105"/>
      <c r="F103" s="105"/>
      <c r="G103" s="105"/>
      <c r="H103" s="105"/>
      <c r="I103" s="105"/>
      <c r="J103" s="106">
        <f>J198</f>
        <v>366039.09</v>
      </c>
      <c r="L103" s="103"/>
    </row>
    <row r="104" spans="2:12" s="9" customFormat="1" ht="19.899999999999999" customHeight="1">
      <c r="B104" s="103"/>
      <c r="D104" s="104" t="s">
        <v>2090</v>
      </c>
      <c r="E104" s="105"/>
      <c r="F104" s="105"/>
      <c r="G104" s="105"/>
      <c r="H104" s="105"/>
      <c r="I104" s="105"/>
      <c r="J104" s="106">
        <f>J225</f>
        <v>321126.39</v>
      </c>
      <c r="L104" s="103"/>
    </row>
    <row r="105" spans="2:12" s="9" customFormat="1" ht="19.899999999999999" customHeight="1">
      <c r="B105" s="103"/>
      <c r="D105" s="104" t="s">
        <v>2089</v>
      </c>
      <c r="E105" s="105"/>
      <c r="F105" s="105"/>
      <c r="G105" s="105"/>
      <c r="H105" s="105"/>
      <c r="I105" s="105"/>
      <c r="J105" s="106">
        <f>J247</f>
        <v>64551.56</v>
      </c>
      <c r="L105" s="103"/>
    </row>
    <row r="106" spans="2:12" s="9" customFormat="1" ht="19.899999999999999" customHeight="1">
      <c r="B106" s="103"/>
      <c r="D106" s="104" t="s">
        <v>1512</v>
      </c>
      <c r="E106" s="105"/>
      <c r="F106" s="105"/>
      <c r="G106" s="105"/>
      <c r="H106" s="105"/>
      <c r="I106" s="105"/>
      <c r="J106" s="106">
        <f>J252</f>
        <v>7085.4</v>
      </c>
      <c r="L106" s="103"/>
    </row>
    <row r="107" spans="2:12" s="9" customFormat="1" ht="19.899999999999999" customHeight="1">
      <c r="B107" s="103"/>
      <c r="D107" s="104" t="s">
        <v>1510</v>
      </c>
      <c r="E107" s="105"/>
      <c r="F107" s="105"/>
      <c r="G107" s="105"/>
      <c r="H107" s="105"/>
      <c r="I107" s="105"/>
      <c r="J107" s="106">
        <f>J257</f>
        <v>9223.2999999999993</v>
      </c>
      <c r="L107" s="103"/>
    </row>
    <row r="108" spans="2:12" s="8" customFormat="1" ht="24.95" customHeight="1">
      <c r="B108" s="99"/>
      <c r="D108" s="100" t="s">
        <v>1508</v>
      </c>
      <c r="E108" s="101"/>
      <c r="F108" s="101"/>
      <c r="G108" s="101"/>
      <c r="H108" s="101"/>
      <c r="I108" s="101"/>
      <c r="J108" s="102">
        <f>J264</f>
        <v>26700</v>
      </c>
      <c r="L108" s="99"/>
    </row>
    <row r="109" spans="2:12" s="1" customFormat="1" ht="21.75" customHeight="1">
      <c r="B109" s="27"/>
      <c r="L109" s="27"/>
    </row>
    <row r="110" spans="2:12" s="1" customFormat="1" ht="6.95" customHeight="1">
      <c r="B110" s="39"/>
      <c r="C110" s="40"/>
      <c r="D110" s="40"/>
      <c r="E110" s="40"/>
      <c r="F110" s="40"/>
      <c r="G110" s="40"/>
      <c r="H110" s="40"/>
      <c r="I110" s="40"/>
      <c r="J110" s="40"/>
      <c r="K110" s="40"/>
      <c r="L110" s="27"/>
    </row>
    <row r="114" spans="2:63" s="1" customFormat="1" ht="6.95" customHeight="1">
      <c r="B114" s="41"/>
      <c r="C114" s="42"/>
      <c r="D114" s="42"/>
      <c r="E114" s="42"/>
      <c r="F114" s="42"/>
      <c r="G114" s="42"/>
      <c r="H114" s="42"/>
      <c r="I114" s="42"/>
      <c r="J114" s="42"/>
      <c r="K114" s="42"/>
      <c r="L114" s="27"/>
    </row>
    <row r="115" spans="2:63" s="1" customFormat="1" ht="24.95" customHeight="1">
      <c r="B115" s="27"/>
      <c r="C115" s="19" t="s">
        <v>126</v>
      </c>
      <c r="L115" s="27"/>
    </row>
    <row r="116" spans="2:63" s="1" customFormat="1" ht="6.95" customHeight="1">
      <c r="B116" s="27"/>
      <c r="L116" s="27"/>
    </row>
    <row r="117" spans="2:63" s="1" customFormat="1" ht="12" customHeight="1">
      <c r="B117" s="27"/>
      <c r="C117" s="24" t="s">
        <v>14</v>
      </c>
      <c r="L117" s="27"/>
    </row>
    <row r="118" spans="2:63" s="1" customFormat="1" ht="26.25" customHeight="1">
      <c r="B118" s="27"/>
      <c r="E118" s="283" t="str">
        <f>E7</f>
        <v>Rozvoj komunitních sociálních služeb DOZP v lokalitě Jičín - aktualizace PD - změna PD 11/2022</v>
      </c>
      <c r="F118" s="284"/>
      <c r="G118" s="284"/>
      <c r="H118" s="284"/>
      <c r="L118" s="27"/>
    </row>
    <row r="119" spans="2:63" s="1" customFormat="1" ht="12" customHeight="1">
      <c r="B119" s="27"/>
      <c r="C119" s="24" t="s">
        <v>90</v>
      </c>
      <c r="L119" s="27"/>
    </row>
    <row r="120" spans="2:63" s="1" customFormat="1" ht="16.5" customHeight="1">
      <c r="B120" s="27"/>
      <c r="E120" s="270" t="str">
        <f>E9</f>
        <v>Objekt B - e - Zdravotní technika</v>
      </c>
      <c r="F120" s="285"/>
      <c r="G120" s="285"/>
      <c r="H120" s="285"/>
      <c r="L120" s="27"/>
    </row>
    <row r="121" spans="2:63" s="1" customFormat="1" ht="6.95" customHeight="1">
      <c r="B121" s="27"/>
      <c r="L121" s="27"/>
    </row>
    <row r="122" spans="2:63" s="1" customFormat="1" ht="12" customHeight="1">
      <c r="B122" s="27"/>
      <c r="C122" s="24" t="s">
        <v>18</v>
      </c>
      <c r="F122" s="22" t="str">
        <f>F12</f>
        <v>Jičín</v>
      </c>
      <c r="I122" s="24" t="s">
        <v>20</v>
      </c>
      <c r="J122" s="47" t="str">
        <f>IF(J12="","",J12)</f>
        <v>15. 3. 2022</v>
      </c>
      <c r="L122" s="27"/>
    </row>
    <row r="123" spans="2:63" s="1" customFormat="1" ht="6.95" customHeight="1">
      <c r="B123" s="27"/>
      <c r="L123" s="27"/>
    </row>
    <row r="124" spans="2:63" s="1" customFormat="1" ht="15.2" customHeight="1">
      <c r="B124" s="27"/>
      <c r="C124" s="24" t="s">
        <v>21</v>
      </c>
      <c r="F124" s="22" t="str">
        <f>E15</f>
        <v xml:space="preserve"> </v>
      </c>
      <c r="I124" s="24" t="s">
        <v>27</v>
      </c>
      <c r="J124" s="25" t="str">
        <f>E21</f>
        <v xml:space="preserve"> </v>
      </c>
      <c r="L124" s="27"/>
    </row>
    <row r="125" spans="2:63" s="1" customFormat="1" ht="15.2" customHeight="1">
      <c r="B125" s="27"/>
      <c r="C125" s="24" t="s">
        <v>25</v>
      </c>
      <c r="F125" s="22" t="str">
        <f>IF(E18="","",E18)</f>
        <v xml:space="preserve"> </v>
      </c>
      <c r="I125" s="24" t="s">
        <v>30</v>
      </c>
      <c r="J125" s="25" t="str">
        <f>E24</f>
        <v xml:space="preserve"> </v>
      </c>
      <c r="L125" s="27"/>
    </row>
    <row r="126" spans="2:63" s="1" customFormat="1" ht="10.35" customHeight="1">
      <c r="B126" s="27"/>
      <c r="L126" s="27"/>
    </row>
    <row r="127" spans="2:63" s="10" customFormat="1" ht="29.25" customHeight="1">
      <c r="B127" s="107"/>
      <c r="C127" s="108" t="s">
        <v>127</v>
      </c>
      <c r="D127" s="109" t="s">
        <v>58</v>
      </c>
      <c r="E127" s="109" t="s">
        <v>54</v>
      </c>
      <c r="F127" s="109" t="s">
        <v>55</v>
      </c>
      <c r="G127" s="109" t="s">
        <v>128</v>
      </c>
      <c r="H127" s="109" t="s">
        <v>129</v>
      </c>
      <c r="I127" s="109" t="s">
        <v>130</v>
      </c>
      <c r="J127" s="109" t="s">
        <v>94</v>
      </c>
      <c r="K127" s="110" t="s">
        <v>131</v>
      </c>
      <c r="L127" s="107"/>
      <c r="M127" s="54" t="s">
        <v>1</v>
      </c>
      <c r="N127" s="55" t="s">
        <v>37</v>
      </c>
      <c r="O127" s="55" t="s">
        <v>132</v>
      </c>
      <c r="P127" s="55" t="s">
        <v>133</v>
      </c>
      <c r="Q127" s="55" t="s">
        <v>134</v>
      </c>
      <c r="R127" s="55" t="s">
        <v>135</v>
      </c>
      <c r="S127" s="55" t="s">
        <v>136</v>
      </c>
      <c r="T127" s="56" t="s">
        <v>137</v>
      </c>
    </row>
    <row r="128" spans="2:63" s="1" customFormat="1" ht="22.9" customHeight="1">
      <c r="B128" s="27"/>
      <c r="C128" s="59" t="s">
        <v>138</v>
      </c>
      <c r="J128" s="111">
        <f>BK128</f>
        <v>1777566.4800000002</v>
      </c>
      <c r="L128" s="27"/>
      <c r="M128" s="57"/>
      <c r="N128" s="48"/>
      <c r="O128" s="48"/>
      <c r="P128" s="112">
        <f>P129+P170+P264</f>
        <v>1014.8301249999997</v>
      </c>
      <c r="Q128" s="48"/>
      <c r="R128" s="112">
        <f>R129+R170+R264</f>
        <v>6.5893299999999995</v>
      </c>
      <c r="S128" s="48"/>
      <c r="T128" s="113">
        <f>T129+T170+T264</f>
        <v>0.15</v>
      </c>
      <c r="AT128" s="15" t="s">
        <v>72</v>
      </c>
      <c r="AU128" s="15" t="s">
        <v>96</v>
      </c>
      <c r="BK128" s="114">
        <f>BK129+BK170+BK264</f>
        <v>1777566.4800000002</v>
      </c>
    </row>
    <row r="129" spans="2:65" s="11" customFormat="1" ht="25.9" customHeight="1">
      <c r="B129" s="115"/>
      <c r="D129" s="116" t="s">
        <v>72</v>
      </c>
      <c r="E129" s="117" t="s">
        <v>139</v>
      </c>
      <c r="F129" s="117" t="s">
        <v>139</v>
      </c>
      <c r="J129" s="118">
        <f>BK129</f>
        <v>548712.60000000009</v>
      </c>
      <c r="L129" s="115"/>
      <c r="M129" s="119"/>
      <c r="P129" s="120">
        <f>P130+SUM(P131:P153)+P157+P159</f>
        <v>127.94399999999999</v>
      </c>
      <c r="R129" s="120">
        <f>R130+SUM(R131:R153)+R157+R159</f>
        <v>2.2975899999999996</v>
      </c>
      <c r="T129" s="121">
        <f>T130+SUM(T131:T153)+T157+T159</f>
        <v>0.15</v>
      </c>
      <c r="AR129" s="116" t="s">
        <v>81</v>
      </c>
      <c r="AT129" s="122" t="s">
        <v>72</v>
      </c>
      <c r="AU129" s="122" t="s">
        <v>73</v>
      </c>
      <c r="AY129" s="116" t="s">
        <v>141</v>
      </c>
      <c r="BK129" s="123">
        <f>BK130+SUM(BK131:BK153)+BK157+BK159</f>
        <v>548712.60000000009</v>
      </c>
    </row>
    <row r="130" spans="2:65" s="1" customFormat="1" ht="44.25" customHeight="1">
      <c r="B130" s="126"/>
      <c r="C130" s="127" t="s">
        <v>81</v>
      </c>
      <c r="D130" s="127" t="s">
        <v>144</v>
      </c>
      <c r="E130" s="128" t="s">
        <v>2088</v>
      </c>
      <c r="F130" s="129" t="s">
        <v>2087</v>
      </c>
      <c r="G130" s="130" t="s">
        <v>162</v>
      </c>
      <c r="H130" s="131">
        <v>131</v>
      </c>
      <c r="I130" s="132">
        <v>768</v>
      </c>
      <c r="J130" s="132">
        <f>ROUND(I130*H130,2)</f>
        <v>100608</v>
      </c>
      <c r="K130" s="129" t="s">
        <v>1</v>
      </c>
      <c r="L130" s="27"/>
      <c r="M130" s="133" t="s">
        <v>1</v>
      </c>
      <c r="N130" s="134" t="s">
        <v>39</v>
      </c>
      <c r="O130" s="135">
        <v>0</v>
      </c>
      <c r="P130" s="135">
        <f>O130*H130</f>
        <v>0</v>
      </c>
      <c r="Q130" s="135">
        <v>0</v>
      </c>
      <c r="R130" s="135">
        <f>Q130*H130</f>
        <v>0</v>
      </c>
      <c r="S130" s="135">
        <v>0</v>
      </c>
      <c r="T130" s="136">
        <f>S130*H130</f>
        <v>0</v>
      </c>
      <c r="AR130" s="137" t="s">
        <v>149</v>
      </c>
      <c r="AT130" s="137" t="s">
        <v>144</v>
      </c>
      <c r="AU130" s="137" t="s">
        <v>81</v>
      </c>
      <c r="AY130" s="15" t="s">
        <v>141</v>
      </c>
      <c r="BE130" s="138">
        <f>IF(N130="základní",J130,0)</f>
        <v>0</v>
      </c>
      <c r="BF130" s="138">
        <f>IF(N130="snížená",J130,0)</f>
        <v>100608</v>
      </c>
      <c r="BG130" s="138">
        <f>IF(N130="zákl. přenesená",J130,0)</f>
        <v>0</v>
      </c>
      <c r="BH130" s="138">
        <f>IF(N130="sníž. přenesená",J130,0)</f>
        <v>0</v>
      </c>
      <c r="BI130" s="138">
        <f>IF(N130="nulová",J130,0)</f>
        <v>0</v>
      </c>
      <c r="BJ130" s="15" t="s">
        <v>143</v>
      </c>
      <c r="BK130" s="138">
        <f>ROUND(I130*H130,2)</f>
        <v>100608</v>
      </c>
      <c r="BL130" s="15" t="s">
        <v>149</v>
      </c>
      <c r="BM130" s="137" t="s">
        <v>2086</v>
      </c>
    </row>
    <row r="131" spans="2:65" s="12" customFormat="1">
      <c r="B131" s="148"/>
      <c r="D131" s="149" t="s">
        <v>363</v>
      </c>
      <c r="E131" s="154" t="s">
        <v>1</v>
      </c>
      <c r="F131" s="150" t="s">
        <v>2085</v>
      </c>
      <c r="H131" s="151">
        <v>36</v>
      </c>
      <c r="L131" s="148"/>
      <c r="M131" s="152"/>
      <c r="T131" s="153"/>
      <c r="AT131" s="154" t="s">
        <v>363</v>
      </c>
      <c r="AU131" s="154" t="s">
        <v>81</v>
      </c>
      <c r="AV131" s="12" t="s">
        <v>143</v>
      </c>
      <c r="AW131" s="12" t="s">
        <v>29</v>
      </c>
      <c r="AX131" s="12" t="s">
        <v>73</v>
      </c>
      <c r="AY131" s="154" t="s">
        <v>141</v>
      </c>
    </row>
    <row r="132" spans="2:65" s="12" customFormat="1">
      <c r="B132" s="148"/>
      <c r="D132" s="149" t="s">
        <v>363</v>
      </c>
      <c r="E132" s="154" t="s">
        <v>1</v>
      </c>
      <c r="F132" s="150" t="s">
        <v>2084</v>
      </c>
      <c r="H132" s="151">
        <v>95</v>
      </c>
      <c r="L132" s="148"/>
      <c r="M132" s="152"/>
      <c r="T132" s="153"/>
      <c r="AT132" s="154" t="s">
        <v>363</v>
      </c>
      <c r="AU132" s="154" t="s">
        <v>81</v>
      </c>
      <c r="AV132" s="12" t="s">
        <v>143</v>
      </c>
      <c r="AW132" s="12" t="s">
        <v>29</v>
      </c>
      <c r="AX132" s="12" t="s">
        <v>73</v>
      </c>
      <c r="AY132" s="154" t="s">
        <v>141</v>
      </c>
    </row>
    <row r="133" spans="2:65" s="13" customFormat="1">
      <c r="B133" s="159"/>
      <c r="D133" s="149" t="s">
        <v>363</v>
      </c>
      <c r="E133" s="160" t="s">
        <v>1</v>
      </c>
      <c r="F133" s="161" t="s">
        <v>1223</v>
      </c>
      <c r="H133" s="162">
        <v>131</v>
      </c>
      <c r="L133" s="159"/>
      <c r="M133" s="163"/>
      <c r="T133" s="164"/>
      <c r="AT133" s="160" t="s">
        <v>363</v>
      </c>
      <c r="AU133" s="160" t="s">
        <v>81</v>
      </c>
      <c r="AV133" s="13" t="s">
        <v>149</v>
      </c>
      <c r="AW133" s="13" t="s">
        <v>29</v>
      </c>
      <c r="AX133" s="13" t="s">
        <v>81</v>
      </c>
      <c r="AY133" s="160" t="s">
        <v>141</v>
      </c>
    </row>
    <row r="134" spans="2:65" s="1" customFormat="1" ht="37.9" customHeight="1">
      <c r="B134" s="126"/>
      <c r="C134" s="127" t="s">
        <v>143</v>
      </c>
      <c r="D134" s="127" t="s">
        <v>144</v>
      </c>
      <c r="E134" s="128" t="s">
        <v>2083</v>
      </c>
      <c r="F134" s="129" t="s">
        <v>2082</v>
      </c>
      <c r="G134" s="130" t="s">
        <v>162</v>
      </c>
      <c r="H134" s="131">
        <v>11</v>
      </c>
      <c r="I134" s="132">
        <v>546</v>
      </c>
      <c r="J134" s="132">
        <f>ROUND(I134*H134,2)</f>
        <v>6006</v>
      </c>
      <c r="K134" s="129" t="s">
        <v>1</v>
      </c>
      <c r="L134" s="27"/>
      <c r="M134" s="133" t="s">
        <v>1</v>
      </c>
      <c r="N134" s="134" t="s">
        <v>39</v>
      </c>
      <c r="O134" s="135">
        <v>0</v>
      </c>
      <c r="P134" s="135">
        <f>O134*H134</f>
        <v>0</v>
      </c>
      <c r="Q134" s="135">
        <v>0</v>
      </c>
      <c r="R134" s="135">
        <f>Q134*H134</f>
        <v>0</v>
      </c>
      <c r="S134" s="135">
        <v>0</v>
      </c>
      <c r="T134" s="136">
        <f>S134*H134</f>
        <v>0</v>
      </c>
      <c r="AR134" s="137" t="s">
        <v>149</v>
      </c>
      <c r="AT134" s="137" t="s">
        <v>144</v>
      </c>
      <c r="AU134" s="137" t="s">
        <v>81</v>
      </c>
      <c r="AY134" s="15" t="s">
        <v>141</v>
      </c>
      <c r="BE134" s="138">
        <f>IF(N134="základní",J134,0)</f>
        <v>0</v>
      </c>
      <c r="BF134" s="138">
        <f>IF(N134="snížená",J134,0)</f>
        <v>6006</v>
      </c>
      <c r="BG134" s="138">
        <f>IF(N134="zákl. přenesená",J134,0)</f>
        <v>0</v>
      </c>
      <c r="BH134" s="138">
        <f>IF(N134="sníž. přenesená",J134,0)</f>
        <v>0</v>
      </c>
      <c r="BI134" s="138">
        <f>IF(N134="nulová",J134,0)</f>
        <v>0</v>
      </c>
      <c r="BJ134" s="15" t="s">
        <v>143</v>
      </c>
      <c r="BK134" s="138">
        <f>ROUND(I134*H134,2)</f>
        <v>6006</v>
      </c>
      <c r="BL134" s="15" t="s">
        <v>149</v>
      </c>
      <c r="BM134" s="137" t="s">
        <v>2081</v>
      </c>
    </row>
    <row r="135" spans="2:65" s="167" customFormat="1" ht="22.5">
      <c r="B135" s="171"/>
      <c r="D135" s="149" t="s">
        <v>363</v>
      </c>
      <c r="E135" s="168" t="s">
        <v>1</v>
      </c>
      <c r="F135" s="172" t="s">
        <v>2080</v>
      </c>
      <c r="H135" s="168" t="s">
        <v>1</v>
      </c>
      <c r="L135" s="171"/>
      <c r="M135" s="170"/>
      <c r="T135" s="169"/>
      <c r="AT135" s="168" t="s">
        <v>363</v>
      </c>
      <c r="AU135" s="168" t="s">
        <v>81</v>
      </c>
      <c r="AV135" s="167" t="s">
        <v>81</v>
      </c>
      <c r="AW135" s="167" t="s">
        <v>29</v>
      </c>
      <c r="AX135" s="167" t="s">
        <v>73</v>
      </c>
      <c r="AY135" s="168" t="s">
        <v>141</v>
      </c>
    </row>
    <row r="136" spans="2:65" s="12" customFormat="1">
      <c r="B136" s="148"/>
      <c r="D136" s="149" t="s">
        <v>363</v>
      </c>
      <c r="E136" s="154" t="s">
        <v>1</v>
      </c>
      <c r="F136" s="150" t="s">
        <v>2079</v>
      </c>
      <c r="H136" s="151">
        <v>11</v>
      </c>
      <c r="L136" s="148"/>
      <c r="M136" s="152"/>
      <c r="T136" s="153"/>
      <c r="AT136" s="154" t="s">
        <v>363</v>
      </c>
      <c r="AU136" s="154" t="s">
        <v>81</v>
      </c>
      <c r="AV136" s="12" t="s">
        <v>143</v>
      </c>
      <c r="AW136" s="12" t="s">
        <v>29</v>
      </c>
      <c r="AX136" s="12" t="s">
        <v>81</v>
      </c>
      <c r="AY136" s="154" t="s">
        <v>141</v>
      </c>
    </row>
    <row r="137" spans="2:65" s="1" customFormat="1" ht="62.65" customHeight="1">
      <c r="B137" s="126"/>
      <c r="C137" s="127" t="s">
        <v>151</v>
      </c>
      <c r="D137" s="127" t="s">
        <v>144</v>
      </c>
      <c r="E137" s="128" t="s">
        <v>2078</v>
      </c>
      <c r="F137" s="129" t="s">
        <v>2077</v>
      </c>
      <c r="G137" s="130" t="s">
        <v>162</v>
      </c>
      <c r="H137" s="131">
        <v>38</v>
      </c>
      <c r="I137" s="132">
        <v>44.6</v>
      </c>
      <c r="J137" s="132">
        <f>ROUND(I137*H137,2)</f>
        <v>1694.8</v>
      </c>
      <c r="K137" s="129" t="s">
        <v>1</v>
      </c>
      <c r="L137" s="27"/>
      <c r="M137" s="133" t="s">
        <v>1</v>
      </c>
      <c r="N137" s="134" t="s">
        <v>39</v>
      </c>
      <c r="O137" s="135">
        <v>0</v>
      </c>
      <c r="P137" s="135">
        <f>O137*H137</f>
        <v>0</v>
      </c>
      <c r="Q137" s="135">
        <v>0</v>
      </c>
      <c r="R137" s="135">
        <f>Q137*H137</f>
        <v>0</v>
      </c>
      <c r="S137" s="135">
        <v>0</v>
      </c>
      <c r="T137" s="136">
        <f>S137*H137</f>
        <v>0</v>
      </c>
      <c r="AR137" s="137" t="s">
        <v>149</v>
      </c>
      <c r="AT137" s="137" t="s">
        <v>144</v>
      </c>
      <c r="AU137" s="137" t="s">
        <v>81</v>
      </c>
      <c r="AY137" s="15" t="s">
        <v>141</v>
      </c>
      <c r="BE137" s="138">
        <f>IF(N137="základní",J137,0)</f>
        <v>0</v>
      </c>
      <c r="BF137" s="138">
        <f>IF(N137="snížená",J137,0)</f>
        <v>1694.8</v>
      </c>
      <c r="BG137" s="138">
        <f>IF(N137="zákl. přenesená",J137,0)</f>
        <v>0</v>
      </c>
      <c r="BH137" s="138">
        <f>IF(N137="sníž. přenesená",J137,0)</f>
        <v>0</v>
      </c>
      <c r="BI137" s="138">
        <f>IF(N137="nulová",J137,0)</f>
        <v>0</v>
      </c>
      <c r="BJ137" s="15" t="s">
        <v>143</v>
      </c>
      <c r="BK137" s="138">
        <f>ROUND(I137*H137,2)</f>
        <v>1694.8</v>
      </c>
      <c r="BL137" s="15" t="s">
        <v>149</v>
      </c>
      <c r="BM137" s="137" t="s">
        <v>2076</v>
      </c>
    </row>
    <row r="138" spans="2:65" s="12" customFormat="1" ht="22.5">
      <c r="B138" s="148"/>
      <c r="D138" s="149" t="s">
        <v>363</v>
      </c>
      <c r="E138" s="154" t="s">
        <v>1</v>
      </c>
      <c r="F138" s="150" t="s">
        <v>2075</v>
      </c>
      <c r="H138" s="151">
        <v>38</v>
      </c>
      <c r="L138" s="148"/>
      <c r="M138" s="152"/>
      <c r="T138" s="153"/>
      <c r="AT138" s="154" t="s">
        <v>363</v>
      </c>
      <c r="AU138" s="154" t="s">
        <v>81</v>
      </c>
      <c r="AV138" s="12" t="s">
        <v>143</v>
      </c>
      <c r="AW138" s="12" t="s">
        <v>29</v>
      </c>
      <c r="AX138" s="12" t="s">
        <v>81</v>
      </c>
      <c r="AY138" s="154" t="s">
        <v>141</v>
      </c>
    </row>
    <row r="139" spans="2:65" s="1" customFormat="1" ht="62.65" customHeight="1">
      <c r="B139" s="126"/>
      <c r="C139" s="127" t="s">
        <v>149</v>
      </c>
      <c r="D139" s="127" t="s">
        <v>144</v>
      </c>
      <c r="E139" s="128" t="s">
        <v>169</v>
      </c>
      <c r="F139" s="129" t="s">
        <v>2074</v>
      </c>
      <c r="G139" s="130" t="s">
        <v>162</v>
      </c>
      <c r="H139" s="131">
        <v>93</v>
      </c>
      <c r="I139" s="132">
        <v>44.6</v>
      </c>
      <c r="J139" s="132">
        <f>ROUND(I139*H139,2)</f>
        <v>4147.8</v>
      </c>
      <c r="K139" s="129" t="s">
        <v>1</v>
      </c>
      <c r="L139" s="27"/>
      <c r="M139" s="133" t="s">
        <v>1</v>
      </c>
      <c r="N139" s="134" t="s">
        <v>39</v>
      </c>
      <c r="O139" s="135">
        <v>0</v>
      </c>
      <c r="P139" s="135">
        <f>O139*H139</f>
        <v>0</v>
      </c>
      <c r="Q139" s="135">
        <v>0</v>
      </c>
      <c r="R139" s="135">
        <f>Q139*H139</f>
        <v>0</v>
      </c>
      <c r="S139" s="135">
        <v>0</v>
      </c>
      <c r="T139" s="136">
        <f>S139*H139</f>
        <v>0</v>
      </c>
      <c r="AR139" s="137" t="s">
        <v>149</v>
      </c>
      <c r="AT139" s="137" t="s">
        <v>144</v>
      </c>
      <c r="AU139" s="137" t="s">
        <v>81</v>
      </c>
      <c r="AY139" s="15" t="s">
        <v>141</v>
      </c>
      <c r="BE139" s="138">
        <f>IF(N139="základní",J139,0)</f>
        <v>0</v>
      </c>
      <c r="BF139" s="138">
        <f>IF(N139="snížená",J139,0)</f>
        <v>4147.8</v>
      </c>
      <c r="BG139" s="138">
        <f>IF(N139="zákl. přenesená",J139,0)</f>
        <v>0</v>
      </c>
      <c r="BH139" s="138">
        <f>IF(N139="sníž. přenesená",J139,0)</f>
        <v>0</v>
      </c>
      <c r="BI139" s="138">
        <f>IF(N139="nulová",J139,0)</f>
        <v>0</v>
      </c>
      <c r="BJ139" s="15" t="s">
        <v>143</v>
      </c>
      <c r="BK139" s="138">
        <f>ROUND(I139*H139,2)</f>
        <v>4147.8</v>
      </c>
      <c r="BL139" s="15" t="s">
        <v>149</v>
      </c>
      <c r="BM139" s="137" t="s">
        <v>2073</v>
      </c>
    </row>
    <row r="140" spans="2:65" s="167" customFormat="1" ht="22.5">
      <c r="B140" s="171"/>
      <c r="D140" s="149" t="s">
        <v>363</v>
      </c>
      <c r="E140" s="168" t="s">
        <v>1</v>
      </c>
      <c r="F140" s="172" t="s">
        <v>2072</v>
      </c>
      <c r="H140" s="168" t="s">
        <v>1</v>
      </c>
      <c r="L140" s="171"/>
      <c r="M140" s="170"/>
      <c r="T140" s="169"/>
      <c r="AT140" s="168" t="s">
        <v>363</v>
      </c>
      <c r="AU140" s="168" t="s">
        <v>81</v>
      </c>
      <c r="AV140" s="167" t="s">
        <v>81</v>
      </c>
      <c r="AW140" s="167" t="s">
        <v>29</v>
      </c>
      <c r="AX140" s="167" t="s">
        <v>73</v>
      </c>
      <c r="AY140" s="168" t="s">
        <v>141</v>
      </c>
    </row>
    <row r="141" spans="2:65" s="12" customFormat="1">
      <c r="B141" s="148"/>
      <c r="D141" s="149" t="s">
        <v>363</v>
      </c>
      <c r="E141" s="154" t="s">
        <v>1</v>
      </c>
      <c r="F141" s="150" t="s">
        <v>2071</v>
      </c>
      <c r="H141" s="151">
        <v>131</v>
      </c>
      <c r="L141" s="148"/>
      <c r="M141" s="152"/>
      <c r="T141" s="153"/>
      <c r="AT141" s="154" t="s">
        <v>363</v>
      </c>
      <c r="AU141" s="154" t="s">
        <v>81</v>
      </c>
      <c r="AV141" s="12" t="s">
        <v>143</v>
      </c>
      <c r="AW141" s="12" t="s">
        <v>29</v>
      </c>
      <c r="AX141" s="12" t="s">
        <v>73</v>
      </c>
      <c r="AY141" s="154" t="s">
        <v>141</v>
      </c>
    </row>
    <row r="142" spans="2:65" s="12" customFormat="1">
      <c r="B142" s="148"/>
      <c r="D142" s="149" t="s">
        <v>363</v>
      </c>
      <c r="E142" s="154" t="s">
        <v>1</v>
      </c>
      <c r="F142" s="150" t="s">
        <v>2070</v>
      </c>
      <c r="H142" s="151">
        <v>-38</v>
      </c>
      <c r="L142" s="148"/>
      <c r="M142" s="152"/>
      <c r="T142" s="153"/>
      <c r="AT142" s="154" t="s">
        <v>363</v>
      </c>
      <c r="AU142" s="154" t="s">
        <v>81</v>
      </c>
      <c r="AV142" s="12" t="s">
        <v>143</v>
      </c>
      <c r="AW142" s="12" t="s">
        <v>29</v>
      </c>
      <c r="AX142" s="12" t="s">
        <v>73</v>
      </c>
      <c r="AY142" s="154" t="s">
        <v>141</v>
      </c>
    </row>
    <row r="143" spans="2:65" s="13" customFormat="1">
      <c r="B143" s="159"/>
      <c r="D143" s="149" t="s">
        <v>363</v>
      </c>
      <c r="E143" s="160" t="s">
        <v>1</v>
      </c>
      <c r="F143" s="161" t="s">
        <v>1223</v>
      </c>
      <c r="H143" s="162">
        <v>93</v>
      </c>
      <c r="L143" s="159"/>
      <c r="M143" s="163"/>
      <c r="T143" s="164"/>
      <c r="AT143" s="160" t="s">
        <v>363</v>
      </c>
      <c r="AU143" s="160" t="s">
        <v>81</v>
      </c>
      <c r="AV143" s="13" t="s">
        <v>149</v>
      </c>
      <c r="AW143" s="13" t="s">
        <v>29</v>
      </c>
      <c r="AX143" s="13" t="s">
        <v>81</v>
      </c>
      <c r="AY143" s="160" t="s">
        <v>141</v>
      </c>
    </row>
    <row r="144" spans="2:65" s="1" customFormat="1" ht="44.25" customHeight="1">
      <c r="B144" s="126"/>
      <c r="C144" s="127" t="s">
        <v>159</v>
      </c>
      <c r="D144" s="127" t="s">
        <v>144</v>
      </c>
      <c r="E144" s="128" t="s">
        <v>2069</v>
      </c>
      <c r="F144" s="129" t="s">
        <v>2068</v>
      </c>
      <c r="G144" s="130" t="s">
        <v>162</v>
      </c>
      <c r="H144" s="131">
        <v>38</v>
      </c>
      <c r="I144" s="132">
        <v>154</v>
      </c>
      <c r="J144" s="132">
        <f>ROUND(I144*H144,2)</f>
        <v>5852</v>
      </c>
      <c r="K144" s="129" t="s">
        <v>1</v>
      </c>
      <c r="L144" s="27"/>
      <c r="M144" s="133" t="s">
        <v>1</v>
      </c>
      <c r="N144" s="134" t="s">
        <v>39</v>
      </c>
      <c r="O144" s="135">
        <v>0</v>
      </c>
      <c r="P144" s="135">
        <f>O144*H144</f>
        <v>0</v>
      </c>
      <c r="Q144" s="135">
        <v>0</v>
      </c>
      <c r="R144" s="135">
        <f>Q144*H144</f>
        <v>0</v>
      </c>
      <c r="S144" s="135">
        <v>0</v>
      </c>
      <c r="T144" s="136">
        <f>S144*H144</f>
        <v>0</v>
      </c>
      <c r="AR144" s="137" t="s">
        <v>149</v>
      </c>
      <c r="AT144" s="137" t="s">
        <v>144</v>
      </c>
      <c r="AU144" s="137" t="s">
        <v>81</v>
      </c>
      <c r="AY144" s="15" t="s">
        <v>141</v>
      </c>
      <c r="BE144" s="138">
        <f>IF(N144="základní",J144,0)</f>
        <v>0</v>
      </c>
      <c r="BF144" s="138">
        <f>IF(N144="snížená",J144,0)</f>
        <v>5852</v>
      </c>
      <c r="BG144" s="138">
        <f>IF(N144="zákl. přenesená",J144,0)</f>
        <v>0</v>
      </c>
      <c r="BH144" s="138">
        <f>IF(N144="sníž. přenesená",J144,0)</f>
        <v>0</v>
      </c>
      <c r="BI144" s="138">
        <f>IF(N144="nulová",J144,0)</f>
        <v>0</v>
      </c>
      <c r="BJ144" s="15" t="s">
        <v>143</v>
      </c>
      <c r="BK144" s="138">
        <f>ROUND(I144*H144,2)</f>
        <v>5852</v>
      </c>
      <c r="BL144" s="15" t="s">
        <v>149</v>
      </c>
      <c r="BM144" s="137" t="s">
        <v>2067</v>
      </c>
    </row>
    <row r="145" spans="2:65" s="12" customFormat="1" ht="22.5">
      <c r="B145" s="148"/>
      <c r="D145" s="149" t="s">
        <v>363</v>
      </c>
      <c r="E145" s="154" t="s">
        <v>1</v>
      </c>
      <c r="F145" s="150" t="s">
        <v>2066</v>
      </c>
      <c r="H145" s="151">
        <v>38</v>
      </c>
      <c r="L145" s="148"/>
      <c r="M145" s="152"/>
      <c r="T145" s="153"/>
      <c r="AT145" s="154" t="s">
        <v>363</v>
      </c>
      <c r="AU145" s="154" t="s">
        <v>81</v>
      </c>
      <c r="AV145" s="12" t="s">
        <v>143</v>
      </c>
      <c r="AW145" s="12" t="s">
        <v>29</v>
      </c>
      <c r="AX145" s="12" t="s">
        <v>81</v>
      </c>
      <c r="AY145" s="154" t="s">
        <v>141</v>
      </c>
    </row>
    <row r="146" spans="2:65" s="1" customFormat="1" ht="44.25" customHeight="1">
      <c r="B146" s="126"/>
      <c r="C146" s="127" t="s">
        <v>164</v>
      </c>
      <c r="D146" s="127" t="s">
        <v>144</v>
      </c>
      <c r="E146" s="128" t="s">
        <v>2065</v>
      </c>
      <c r="F146" s="129" t="s">
        <v>2064</v>
      </c>
      <c r="G146" s="130" t="s">
        <v>179</v>
      </c>
      <c r="H146" s="131">
        <v>167.4</v>
      </c>
      <c r="I146" s="132">
        <v>294</v>
      </c>
      <c r="J146" s="132">
        <f>ROUND(I146*H146,2)</f>
        <v>49215.6</v>
      </c>
      <c r="K146" s="129" t="s">
        <v>1</v>
      </c>
      <c r="L146" s="27"/>
      <c r="M146" s="133" t="s">
        <v>1</v>
      </c>
      <c r="N146" s="134" t="s">
        <v>39</v>
      </c>
      <c r="O146" s="135">
        <v>0</v>
      </c>
      <c r="P146" s="135">
        <f>O146*H146</f>
        <v>0</v>
      </c>
      <c r="Q146" s="135">
        <v>0</v>
      </c>
      <c r="R146" s="135">
        <f>Q146*H146</f>
        <v>0</v>
      </c>
      <c r="S146" s="135">
        <v>0</v>
      </c>
      <c r="T146" s="136">
        <f>S146*H146</f>
        <v>0</v>
      </c>
      <c r="AR146" s="137" t="s">
        <v>149</v>
      </c>
      <c r="AT146" s="137" t="s">
        <v>144</v>
      </c>
      <c r="AU146" s="137" t="s">
        <v>81</v>
      </c>
      <c r="AY146" s="15" t="s">
        <v>141</v>
      </c>
      <c r="BE146" s="138">
        <f>IF(N146="základní",J146,0)</f>
        <v>0</v>
      </c>
      <c r="BF146" s="138">
        <f>IF(N146="snížená",J146,0)</f>
        <v>49215.6</v>
      </c>
      <c r="BG146" s="138">
        <f>IF(N146="zákl. přenesená",J146,0)</f>
        <v>0</v>
      </c>
      <c r="BH146" s="138">
        <f>IF(N146="sníž. přenesená",J146,0)</f>
        <v>0</v>
      </c>
      <c r="BI146" s="138">
        <f>IF(N146="nulová",J146,0)</f>
        <v>0</v>
      </c>
      <c r="BJ146" s="15" t="s">
        <v>143</v>
      </c>
      <c r="BK146" s="138">
        <f>ROUND(I146*H146,2)</f>
        <v>49215.6</v>
      </c>
      <c r="BL146" s="15" t="s">
        <v>149</v>
      </c>
      <c r="BM146" s="137" t="s">
        <v>2063</v>
      </c>
    </row>
    <row r="147" spans="2:65" s="12" customFormat="1" ht="22.5">
      <c r="B147" s="148"/>
      <c r="D147" s="149" t="s">
        <v>363</v>
      </c>
      <c r="E147" s="154" t="s">
        <v>1</v>
      </c>
      <c r="F147" s="150" t="s">
        <v>2062</v>
      </c>
      <c r="H147" s="151">
        <v>167.4</v>
      </c>
      <c r="L147" s="148"/>
      <c r="M147" s="152"/>
      <c r="T147" s="153"/>
      <c r="AT147" s="154" t="s">
        <v>363</v>
      </c>
      <c r="AU147" s="154" t="s">
        <v>81</v>
      </c>
      <c r="AV147" s="12" t="s">
        <v>143</v>
      </c>
      <c r="AW147" s="12" t="s">
        <v>29</v>
      </c>
      <c r="AX147" s="12" t="s">
        <v>81</v>
      </c>
      <c r="AY147" s="154" t="s">
        <v>141</v>
      </c>
    </row>
    <row r="148" spans="2:65" s="1" customFormat="1" ht="44.25" customHeight="1">
      <c r="B148" s="126"/>
      <c r="C148" s="127" t="s">
        <v>168</v>
      </c>
      <c r="D148" s="127" t="s">
        <v>144</v>
      </c>
      <c r="E148" s="128" t="s">
        <v>2061</v>
      </c>
      <c r="F148" s="129" t="s">
        <v>2060</v>
      </c>
      <c r="G148" s="130" t="s">
        <v>162</v>
      </c>
      <c r="H148" s="131">
        <v>93</v>
      </c>
      <c r="I148" s="132">
        <v>143</v>
      </c>
      <c r="J148" s="132">
        <f>ROUND(I148*H148,2)</f>
        <v>13299</v>
      </c>
      <c r="K148" s="129" t="s">
        <v>1</v>
      </c>
      <c r="L148" s="27"/>
      <c r="M148" s="133" t="s">
        <v>1</v>
      </c>
      <c r="N148" s="134" t="s">
        <v>39</v>
      </c>
      <c r="O148" s="135">
        <v>0</v>
      </c>
      <c r="P148" s="135">
        <f>O148*H148</f>
        <v>0</v>
      </c>
      <c r="Q148" s="135">
        <v>0</v>
      </c>
      <c r="R148" s="135">
        <f>Q148*H148</f>
        <v>0</v>
      </c>
      <c r="S148" s="135">
        <v>0</v>
      </c>
      <c r="T148" s="136">
        <f>S148*H148</f>
        <v>0</v>
      </c>
      <c r="AR148" s="137" t="s">
        <v>149</v>
      </c>
      <c r="AT148" s="137" t="s">
        <v>144</v>
      </c>
      <c r="AU148" s="137" t="s">
        <v>81</v>
      </c>
      <c r="AY148" s="15" t="s">
        <v>141</v>
      </c>
      <c r="BE148" s="138">
        <f>IF(N148="základní",J148,0)</f>
        <v>0</v>
      </c>
      <c r="BF148" s="138">
        <f>IF(N148="snížená",J148,0)</f>
        <v>13299</v>
      </c>
      <c r="BG148" s="138">
        <f>IF(N148="zákl. přenesená",J148,0)</f>
        <v>0</v>
      </c>
      <c r="BH148" s="138">
        <f>IF(N148="sníž. přenesená",J148,0)</f>
        <v>0</v>
      </c>
      <c r="BI148" s="138">
        <f>IF(N148="nulová",J148,0)</f>
        <v>0</v>
      </c>
      <c r="BJ148" s="15" t="s">
        <v>143</v>
      </c>
      <c r="BK148" s="138">
        <f>ROUND(I148*H148,2)</f>
        <v>13299</v>
      </c>
      <c r="BL148" s="15" t="s">
        <v>149</v>
      </c>
      <c r="BM148" s="137" t="s">
        <v>2059</v>
      </c>
    </row>
    <row r="149" spans="2:65" s="167" customFormat="1" ht="22.5">
      <c r="B149" s="171"/>
      <c r="D149" s="149" t="s">
        <v>363</v>
      </c>
      <c r="E149" s="168" t="s">
        <v>1</v>
      </c>
      <c r="F149" s="172" t="s">
        <v>2058</v>
      </c>
      <c r="H149" s="168" t="s">
        <v>1</v>
      </c>
      <c r="L149" s="171"/>
      <c r="M149" s="170"/>
      <c r="T149" s="169"/>
      <c r="AT149" s="168" t="s">
        <v>363</v>
      </c>
      <c r="AU149" s="168" t="s">
        <v>81</v>
      </c>
      <c r="AV149" s="167" t="s">
        <v>81</v>
      </c>
      <c r="AW149" s="167" t="s">
        <v>29</v>
      </c>
      <c r="AX149" s="167" t="s">
        <v>73</v>
      </c>
      <c r="AY149" s="168" t="s">
        <v>141</v>
      </c>
    </row>
    <row r="150" spans="2:65" s="12" customFormat="1">
      <c r="B150" s="148"/>
      <c r="D150" s="149" t="s">
        <v>363</v>
      </c>
      <c r="E150" s="154" t="s">
        <v>1</v>
      </c>
      <c r="F150" s="150" t="s">
        <v>2057</v>
      </c>
      <c r="H150" s="151">
        <v>131</v>
      </c>
      <c r="L150" s="148"/>
      <c r="M150" s="152"/>
      <c r="T150" s="153"/>
      <c r="AT150" s="154" t="s">
        <v>363</v>
      </c>
      <c r="AU150" s="154" t="s">
        <v>81</v>
      </c>
      <c r="AV150" s="12" t="s">
        <v>143</v>
      </c>
      <c r="AW150" s="12" t="s">
        <v>29</v>
      </c>
      <c r="AX150" s="12" t="s">
        <v>73</v>
      </c>
      <c r="AY150" s="154" t="s">
        <v>141</v>
      </c>
    </row>
    <row r="151" spans="2:65" s="12" customFormat="1" ht="22.5">
      <c r="B151" s="148"/>
      <c r="D151" s="149" t="s">
        <v>363</v>
      </c>
      <c r="E151" s="154" t="s">
        <v>1</v>
      </c>
      <c r="F151" s="150" t="s">
        <v>2056</v>
      </c>
      <c r="H151" s="151">
        <v>-38</v>
      </c>
      <c r="L151" s="148"/>
      <c r="M151" s="152"/>
      <c r="T151" s="153"/>
      <c r="AT151" s="154" t="s">
        <v>363</v>
      </c>
      <c r="AU151" s="154" t="s">
        <v>81</v>
      </c>
      <c r="AV151" s="12" t="s">
        <v>143</v>
      </c>
      <c r="AW151" s="12" t="s">
        <v>29</v>
      </c>
      <c r="AX151" s="12" t="s">
        <v>73</v>
      </c>
      <c r="AY151" s="154" t="s">
        <v>141</v>
      </c>
    </row>
    <row r="152" spans="2:65" s="13" customFormat="1">
      <c r="B152" s="159"/>
      <c r="D152" s="149" t="s">
        <v>363</v>
      </c>
      <c r="E152" s="160" t="s">
        <v>1</v>
      </c>
      <c r="F152" s="161" t="s">
        <v>1223</v>
      </c>
      <c r="H152" s="162">
        <v>93</v>
      </c>
      <c r="L152" s="159"/>
      <c r="M152" s="163"/>
      <c r="T152" s="164"/>
      <c r="AT152" s="160" t="s">
        <v>363</v>
      </c>
      <c r="AU152" s="160" t="s">
        <v>81</v>
      </c>
      <c r="AV152" s="13" t="s">
        <v>149</v>
      </c>
      <c r="AW152" s="13" t="s">
        <v>29</v>
      </c>
      <c r="AX152" s="13" t="s">
        <v>81</v>
      </c>
      <c r="AY152" s="160" t="s">
        <v>141</v>
      </c>
    </row>
    <row r="153" spans="2:65" s="11" customFormat="1" ht="22.9" customHeight="1">
      <c r="B153" s="115"/>
      <c r="D153" s="116" t="s">
        <v>72</v>
      </c>
      <c r="E153" s="124" t="s">
        <v>149</v>
      </c>
      <c r="F153" s="124" t="s">
        <v>269</v>
      </c>
      <c r="J153" s="125">
        <f>BK153</f>
        <v>57646</v>
      </c>
      <c r="L153" s="115"/>
      <c r="M153" s="119"/>
      <c r="P153" s="120">
        <f>SUM(P154:P156)</f>
        <v>4.37</v>
      </c>
      <c r="R153" s="120">
        <f>SUM(R154:R156)</f>
        <v>1.3299999999999999E-2</v>
      </c>
      <c r="T153" s="121">
        <f>SUM(T154:T156)</f>
        <v>0</v>
      </c>
      <c r="AR153" s="116" t="s">
        <v>81</v>
      </c>
      <c r="AT153" s="122" t="s">
        <v>72</v>
      </c>
      <c r="AU153" s="122" t="s">
        <v>81</v>
      </c>
      <c r="AY153" s="116" t="s">
        <v>141</v>
      </c>
      <c r="BK153" s="123">
        <f>SUM(BK154:BK156)</f>
        <v>57646</v>
      </c>
    </row>
    <row r="154" spans="2:65" s="1" customFormat="1" ht="24.2" customHeight="1">
      <c r="B154" s="126"/>
      <c r="C154" s="127" t="s">
        <v>172</v>
      </c>
      <c r="D154" s="127" t="s">
        <v>144</v>
      </c>
      <c r="E154" s="128" t="s">
        <v>2055</v>
      </c>
      <c r="F154" s="129" t="s">
        <v>2054</v>
      </c>
      <c r="G154" s="130" t="s">
        <v>162</v>
      </c>
      <c r="H154" s="131">
        <v>38</v>
      </c>
      <c r="I154" s="132">
        <v>1452</v>
      </c>
      <c r="J154" s="132">
        <f>ROUND(I154*H154,2)</f>
        <v>55176</v>
      </c>
      <c r="K154" s="129" t="s">
        <v>1</v>
      </c>
      <c r="L154" s="27"/>
      <c r="M154" s="133" t="s">
        <v>1</v>
      </c>
      <c r="N154" s="134" t="s">
        <v>39</v>
      </c>
      <c r="O154" s="135">
        <v>0</v>
      </c>
      <c r="P154" s="135">
        <f>O154*H154</f>
        <v>0</v>
      </c>
      <c r="Q154" s="135">
        <v>0</v>
      </c>
      <c r="R154" s="135">
        <f>Q154*H154</f>
        <v>0</v>
      </c>
      <c r="S154" s="135">
        <v>0</v>
      </c>
      <c r="T154" s="136">
        <f>S154*H154</f>
        <v>0</v>
      </c>
      <c r="AR154" s="137" t="s">
        <v>149</v>
      </c>
      <c r="AT154" s="137" t="s">
        <v>144</v>
      </c>
      <c r="AU154" s="137" t="s">
        <v>143</v>
      </c>
      <c r="AY154" s="15" t="s">
        <v>141</v>
      </c>
      <c r="BE154" s="138">
        <f>IF(N154="základní",J154,0)</f>
        <v>0</v>
      </c>
      <c r="BF154" s="138">
        <f>IF(N154="snížená",J154,0)</f>
        <v>55176</v>
      </c>
      <c r="BG154" s="138">
        <f>IF(N154="zákl. přenesená",J154,0)</f>
        <v>0</v>
      </c>
      <c r="BH154" s="138">
        <f>IF(N154="sníž. přenesená",J154,0)</f>
        <v>0</v>
      </c>
      <c r="BI154" s="138">
        <f>IF(N154="nulová",J154,0)</f>
        <v>0</v>
      </c>
      <c r="BJ154" s="15" t="s">
        <v>143</v>
      </c>
      <c r="BK154" s="138">
        <f>ROUND(I154*H154,2)</f>
        <v>55176</v>
      </c>
      <c r="BL154" s="15" t="s">
        <v>149</v>
      </c>
      <c r="BM154" s="137" t="s">
        <v>2053</v>
      </c>
    </row>
    <row r="155" spans="2:65" s="12" customFormat="1">
      <c r="B155" s="148"/>
      <c r="D155" s="149" t="s">
        <v>363</v>
      </c>
      <c r="E155" s="154" t="s">
        <v>1</v>
      </c>
      <c r="F155" s="150" t="s">
        <v>2052</v>
      </c>
      <c r="H155" s="151">
        <v>38</v>
      </c>
      <c r="L155" s="148"/>
      <c r="M155" s="152"/>
      <c r="T155" s="153"/>
      <c r="AT155" s="154" t="s">
        <v>363</v>
      </c>
      <c r="AU155" s="154" t="s">
        <v>143</v>
      </c>
      <c r="AV155" s="12" t="s">
        <v>143</v>
      </c>
      <c r="AW155" s="12" t="s">
        <v>29</v>
      </c>
      <c r="AX155" s="12" t="s">
        <v>81</v>
      </c>
      <c r="AY155" s="154" t="s">
        <v>141</v>
      </c>
    </row>
    <row r="156" spans="2:65" s="1" customFormat="1" ht="21.75" customHeight="1">
      <c r="B156" s="126"/>
      <c r="C156" s="127" t="s">
        <v>176</v>
      </c>
      <c r="D156" s="127" t="s">
        <v>144</v>
      </c>
      <c r="E156" s="128" t="s">
        <v>2051</v>
      </c>
      <c r="F156" s="129" t="s">
        <v>2050</v>
      </c>
      <c r="G156" s="130" t="s">
        <v>193</v>
      </c>
      <c r="H156" s="131">
        <v>190</v>
      </c>
      <c r="I156" s="132">
        <v>13</v>
      </c>
      <c r="J156" s="132">
        <f>ROUND(I156*H156,2)</f>
        <v>2470</v>
      </c>
      <c r="K156" s="129" t="s">
        <v>148</v>
      </c>
      <c r="L156" s="27"/>
      <c r="M156" s="133" t="s">
        <v>1</v>
      </c>
      <c r="N156" s="134" t="s">
        <v>39</v>
      </c>
      <c r="O156" s="135">
        <v>2.3E-2</v>
      </c>
      <c r="P156" s="135">
        <f>O156*H156</f>
        <v>4.37</v>
      </c>
      <c r="Q156" s="135">
        <v>6.9999999999999994E-5</v>
      </c>
      <c r="R156" s="135">
        <f>Q156*H156</f>
        <v>1.3299999999999999E-2</v>
      </c>
      <c r="S156" s="135">
        <v>0</v>
      </c>
      <c r="T156" s="136">
        <f>S156*H156</f>
        <v>0</v>
      </c>
      <c r="AR156" s="137" t="s">
        <v>149</v>
      </c>
      <c r="AT156" s="137" t="s">
        <v>144</v>
      </c>
      <c r="AU156" s="137" t="s">
        <v>143</v>
      </c>
      <c r="AY156" s="15" t="s">
        <v>141</v>
      </c>
      <c r="BE156" s="138">
        <f>IF(N156="základní",J156,0)</f>
        <v>0</v>
      </c>
      <c r="BF156" s="138">
        <f>IF(N156="snížená",J156,0)</f>
        <v>2470</v>
      </c>
      <c r="BG156" s="138">
        <f>IF(N156="zákl. přenesená",J156,0)</f>
        <v>0</v>
      </c>
      <c r="BH156" s="138">
        <f>IF(N156="sníž. přenesená",J156,0)</f>
        <v>0</v>
      </c>
      <c r="BI156" s="138">
        <f>IF(N156="nulová",J156,0)</f>
        <v>0</v>
      </c>
      <c r="BJ156" s="15" t="s">
        <v>143</v>
      </c>
      <c r="BK156" s="138">
        <f>ROUND(I156*H156,2)</f>
        <v>2470</v>
      </c>
      <c r="BL156" s="15" t="s">
        <v>149</v>
      </c>
      <c r="BM156" s="137" t="s">
        <v>2049</v>
      </c>
    </row>
    <row r="157" spans="2:65" s="11" customFormat="1" ht="22.9" customHeight="1">
      <c r="B157" s="115"/>
      <c r="D157" s="116" t="s">
        <v>72</v>
      </c>
      <c r="E157" s="124" t="s">
        <v>164</v>
      </c>
      <c r="F157" s="124" t="s">
        <v>330</v>
      </c>
      <c r="J157" s="125">
        <f>BK157</f>
        <v>5100</v>
      </c>
      <c r="L157" s="115"/>
      <c r="M157" s="119"/>
      <c r="P157" s="120">
        <f>P158</f>
        <v>6.8250000000000002</v>
      </c>
      <c r="R157" s="120">
        <f>R158</f>
        <v>1.6500000000000001E-2</v>
      </c>
      <c r="T157" s="121">
        <f>T158</f>
        <v>0.15</v>
      </c>
      <c r="AR157" s="116" t="s">
        <v>81</v>
      </c>
      <c r="AT157" s="122" t="s">
        <v>72</v>
      </c>
      <c r="AU157" s="122" t="s">
        <v>81</v>
      </c>
      <c r="AY157" s="116" t="s">
        <v>141</v>
      </c>
      <c r="BK157" s="123">
        <f>BK158</f>
        <v>5100</v>
      </c>
    </row>
    <row r="158" spans="2:65" s="1" customFormat="1" ht="37.9" customHeight="1">
      <c r="B158" s="126"/>
      <c r="C158" s="127" t="s">
        <v>181</v>
      </c>
      <c r="D158" s="127" t="s">
        <v>144</v>
      </c>
      <c r="E158" s="128" t="s">
        <v>2048</v>
      </c>
      <c r="F158" s="129" t="s">
        <v>2047</v>
      </c>
      <c r="G158" s="130" t="s">
        <v>157</v>
      </c>
      <c r="H158" s="131">
        <v>75</v>
      </c>
      <c r="I158" s="132">
        <v>68</v>
      </c>
      <c r="J158" s="132">
        <f>ROUND(I158*H158,2)</f>
        <v>5100</v>
      </c>
      <c r="K158" s="129" t="s">
        <v>148</v>
      </c>
      <c r="L158" s="27"/>
      <c r="M158" s="133" t="s">
        <v>1</v>
      </c>
      <c r="N158" s="134" t="s">
        <v>39</v>
      </c>
      <c r="O158" s="135">
        <v>9.0999999999999998E-2</v>
      </c>
      <c r="P158" s="135">
        <f>O158*H158</f>
        <v>6.8250000000000002</v>
      </c>
      <c r="Q158" s="135">
        <v>2.2000000000000001E-4</v>
      </c>
      <c r="R158" s="135">
        <f>Q158*H158</f>
        <v>1.6500000000000001E-2</v>
      </c>
      <c r="S158" s="135">
        <v>2E-3</v>
      </c>
      <c r="T158" s="136">
        <f>S158*H158</f>
        <v>0.15</v>
      </c>
      <c r="AR158" s="137" t="s">
        <v>149</v>
      </c>
      <c r="AT158" s="137" t="s">
        <v>144</v>
      </c>
      <c r="AU158" s="137" t="s">
        <v>143</v>
      </c>
      <c r="AY158" s="15" t="s">
        <v>141</v>
      </c>
      <c r="BE158" s="138">
        <f>IF(N158="základní",J158,0)</f>
        <v>0</v>
      </c>
      <c r="BF158" s="138">
        <f>IF(N158="snížená",J158,0)</f>
        <v>5100</v>
      </c>
      <c r="BG158" s="138">
        <f>IF(N158="zákl. přenesená",J158,0)</f>
        <v>0</v>
      </c>
      <c r="BH158" s="138">
        <f>IF(N158="sníž. přenesená",J158,0)</f>
        <v>0</v>
      </c>
      <c r="BI158" s="138">
        <f>IF(N158="nulová",J158,0)</f>
        <v>0</v>
      </c>
      <c r="BJ158" s="15" t="s">
        <v>143</v>
      </c>
      <c r="BK158" s="138">
        <f>ROUND(I158*H158,2)</f>
        <v>5100</v>
      </c>
      <c r="BL158" s="15" t="s">
        <v>149</v>
      </c>
      <c r="BM158" s="137" t="s">
        <v>2046</v>
      </c>
    </row>
    <row r="159" spans="2:65" s="11" customFormat="1" ht="22.9" customHeight="1">
      <c r="B159" s="115"/>
      <c r="D159" s="116" t="s">
        <v>72</v>
      </c>
      <c r="E159" s="124" t="s">
        <v>172</v>
      </c>
      <c r="F159" s="124" t="s">
        <v>2045</v>
      </c>
      <c r="J159" s="125">
        <f>BK159</f>
        <v>305143.40000000002</v>
      </c>
      <c r="L159" s="115"/>
      <c r="M159" s="119"/>
      <c r="P159" s="120">
        <f>SUM(P160:P169)</f>
        <v>116.749</v>
      </c>
      <c r="R159" s="120">
        <f>SUM(R160:R169)</f>
        <v>2.2677899999999998</v>
      </c>
      <c r="T159" s="121">
        <f>SUM(T160:T169)</f>
        <v>0</v>
      </c>
      <c r="AR159" s="116" t="s">
        <v>81</v>
      </c>
      <c r="AT159" s="122" t="s">
        <v>72</v>
      </c>
      <c r="AU159" s="122" t="s">
        <v>81</v>
      </c>
      <c r="AY159" s="116" t="s">
        <v>141</v>
      </c>
      <c r="BK159" s="123">
        <f>SUM(BK160:BK169)</f>
        <v>305143.40000000002</v>
      </c>
    </row>
    <row r="160" spans="2:65" s="1" customFormat="1" ht="44.25" customHeight="1">
      <c r="B160" s="126"/>
      <c r="C160" s="127" t="s">
        <v>185</v>
      </c>
      <c r="D160" s="127" t="s">
        <v>144</v>
      </c>
      <c r="E160" s="128" t="s">
        <v>2044</v>
      </c>
      <c r="F160" s="129" t="s">
        <v>2043</v>
      </c>
      <c r="G160" s="130" t="s">
        <v>147</v>
      </c>
      <c r="H160" s="131">
        <v>1</v>
      </c>
      <c r="I160" s="132">
        <v>1560</v>
      </c>
      <c r="J160" s="132">
        <f t="shared" ref="J160:J169" si="0">ROUND(I160*H160,2)</f>
        <v>1560</v>
      </c>
      <c r="K160" s="129" t="s">
        <v>148</v>
      </c>
      <c r="L160" s="27"/>
      <c r="M160" s="133" t="s">
        <v>1</v>
      </c>
      <c r="N160" s="134" t="s">
        <v>39</v>
      </c>
      <c r="O160" s="135">
        <v>0.58299999999999996</v>
      </c>
      <c r="P160" s="135">
        <f t="shared" ref="P160:P169" si="1">O160*H160</f>
        <v>0.58299999999999996</v>
      </c>
      <c r="Q160" s="135">
        <v>8.2049999999999998E-2</v>
      </c>
      <c r="R160" s="135">
        <f t="shared" ref="R160:R169" si="2">Q160*H160</f>
        <v>8.2049999999999998E-2</v>
      </c>
      <c r="S160" s="135">
        <v>0</v>
      </c>
      <c r="T160" s="136">
        <f t="shared" ref="T160:T169" si="3">S160*H160</f>
        <v>0</v>
      </c>
      <c r="AR160" s="137" t="s">
        <v>149</v>
      </c>
      <c r="AT160" s="137" t="s">
        <v>144</v>
      </c>
      <c r="AU160" s="137" t="s">
        <v>143</v>
      </c>
      <c r="AY160" s="15" t="s">
        <v>141</v>
      </c>
      <c r="BE160" s="138">
        <f t="shared" ref="BE160:BE169" si="4">IF(N160="základní",J160,0)</f>
        <v>0</v>
      </c>
      <c r="BF160" s="138">
        <f t="shared" ref="BF160:BF169" si="5">IF(N160="snížená",J160,0)</f>
        <v>1560</v>
      </c>
      <c r="BG160" s="138">
        <f t="shared" ref="BG160:BG169" si="6">IF(N160="zákl. přenesená",J160,0)</f>
        <v>0</v>
      </c>
      <c r="BH160" s="138">
        <f t="shared" ref="BH160:BH169" si="7">IF(N160="sníž. přenesená",J160,0)</f>
        <v>0</v>
      </c>
      <c r="BI160" s="138">
        <f t="shared" ref="BI160:BI169" si="8">IF(N160="nulová",J160,0)</f>
        <v>0</v>
      </c>
      <c r="BJ160" s="15" t="s">
        <v>143</v>
      </c>
      <c r="BK160" s="138">
        <f t="shared" ref="BK160:BK169" si="9">ROUND(I160*H160,2)</f>
        <v>1560</v>
      </c>
      <c r="BL160" s="15" t="s">
        <v>149</v>
      </c>
      <c r="BM160" s="137" t="s">
        <v>2042</v>
      </c>
    </row>
    <row r="161" spans="2:65" s="1" customFormat="1" ht="37.9" customHeight="1">
      <c r="B161" s="126"/>
      <c r="C161" s="127" t="s">
        <v>190</v>
      </c>
      <c r="D161" s="127" t="s">
        <v>144</v>
      </c>
      <c r="E161" s="128" t="s">
        <v>2041</v>
      </c>
      <c r="F161" s="129" t="s">
        <v>2040</v>
      </c>
      <c r="G161" s="130" t="s">
        <v>147</v>
      </c>
      <c r="H161" s="131">
        <v>1</v>
      </c>
      <c r="I161" s="132">
        <v>1150</v>
      </c>
      <c r="J161" s="132">
        <f t="shared" si="0"/>
        <v>1150</v>
      </c>
      <c r="K161" s="129" t="s">
        <v>148</v>
      </c>
      <c r="L161" s="27"/>
      <c r="M161" s="133" t="s">
        <v>1</v>
      </c>
      <c r="N161" s="134" t="s">
        <v>39</v>
      </c>
      <c r="O161" s="135">
        <v>0.16600000000000001</v>
      </c>
      <c r="P161" s="135">
        <f t="shared" si="1"/>
        <v>0.16600000000000001</v>
      </c>
      <c r="Q161" s="135">
        <v>5.9800000000000001E-3</v>
      </c>
      <c r="R161" s="135">
        <f t="shared" si="2"/>
        <v>5.9800000000000001E-3</v>
      </c>
      <c r="S161" s="135">
        <v>0</v>
      </c>
      <c r="T161" s="136">
        <f t="shared" si="3"/>
        <v>0</v>
      </c>
      <c r="AR161" s="137" t="s">
        <v>149</v>
      </c>
      <c r="AT161" s="137" t="s">
        <v>144</v>
      </c>
      <c r="AU161" s="137" t="s">
        <v>143</v>
      </c>
      <c r="AY161" s="15" t="s">
        <v>141</v>
      </c>
      <c r="BE161" s="138">
        <f t="shared" si="4"/>
        <v>0</v>
      </c>
      <c r="BF161" s="138">
        <f t="shared" si="5"/>
        <v>1150</v>
      </c>
      <c r="BG161" s="138">
        <f t="shared" si="6"/>
        <v>0</v>
      </c>
      <c r="BH161" s="138">
        <f t="shared" si="7"/>
        <v>0</v>
      </c>
      <c r="BI161" s="138">
        <f t="shared" si="8"/>
        <v>0</v>
      </c>
      <c r="BJ161" s="15" t="s">
        <v>143</v>
      </c>
      <c r="BK161" s="138">
        <f t="shared" si="9"/>
        <v>1150</v>
      </c>
      <c r="BL161" s="15" t="s">
        <v>149</v>
      </c>
      <c r="BM161" s="137" t="s">
        <v>2039</v>
      </c>
    </row>
    <row r="162" spans="2:65" s="1" customFormat="1" ht="44.25" customHeight="1">
      <c r="B162" s="126"/>
      <c r="C162" s="127" t="s">
        <v>195</v>
      </c>
      <c r="D162" s="127" t="s">
        <v>144</v>
      </c>
      <c r="E162" s="128" t="s">
        <v>2038</v>
      </c>
      <c r="F162" s="129" t="s">
        <v>2037</v>
      </c>
      <c r="G162" s="130" t="s">
        <v>147</v>
      </c>
      <c r="H162" s="131">
        <v>1</v>
      </c>
      <c r="I162" s="132">
        <v>81.400000000000006</v>
      </c>
      <c r="J162" s="132">
        <f t="shared" si="0"/>
        <v>81.400000000000006</v>
      </c>
      <c r="K162" s="129" t="s">
        <v>148</v>
      </c>
      <c r="L162" s="27"/>
      <c r="M162" s="133" t="s">
        <v>1</v>
      </c>
      <c r="N162" s="134" t="s">
        <v>39</v>
      </c>
      <c r="O162" s="135">
        <v>0.22</v>
      </c>
      <c r="P162" s="135">
        <f t="shared" si="1"/>
        <v>0.22</v>
      </c>
      <c r="Q162" s="135">
        <v>0</v>
      </c>
      <c r="R162" s="135">
        <f t="shared" si="2"/>
        <v>0</v>
      </c>
      <c r="S162" s="135">
        <v>0</v>
      </c>
      <c r="T162" s="136">
        <f t="shared" si="3"/>
        <v>0</v>
      </c>
      <c r="AR162" s="137" t="s">
        <v>149</v>
      </c>
      <c r="AT162" s="137" t="s">
        <v>144</v>
      </c>
      <c r="AU162" s="137" t="s">
        <v>143</v>
      </c>
      <c r="AY162" s="15" t="s">
        <v>141</v>
      </c>
      <c r="BE162" s="138">
        <f t="shared" si="4"/>
        <v>0</v>
      </c>
      <c r="BF162" s="138">
        <f t="shared" si="5"/>
        <v>81.400000000000006</v>
      </c>
      <c r="BG162" s="138">
        <f t="shared" si="6"/>
        <v>0</v>
      </c>
      <c r="BH162" s="138">
        <f t="shared" si="7"/>
        <v>0</v>
      </c>
      <c r="BI162" s="138">
        <f t="shared" si="8"/>
        <v>0</v>
      </c>
      <c r="BJ162" s="15" t="s">
        <v>143</v>
      </c>
      <c r="BK162" s="138">
        <f t="shared" si="9"/>
        <v>81.400000000000006</v>
      </c>
      <c r="BL162" s="15" t="s">
        <v>149</v>
      </c>
      <c r="BM162" s="137" t="s">
        <v>2036</v>
      </c>
    </row>
    <row r="163" spans="2:65" s="1" customFormat="1" ht="37.9" customHeight="1">
      <c r="B163" s="126"/>
      <c r="C163" s="127" t="s">
        <v>199</v>
      </c>
      <c r="D163" s="127" t="s">
        <v>144</v>
      </c>
      <c r="E163" s="128" t="s">
        <v>2035</v>
      </c>
      <c r="F163" s="129" t="s">
        <v>2034</v>
      </c>
      <c r="G163" s="130" t="s">
        <v>147</v>
      </c>
      <c r="H163" s="131">
        <v>1</v>
      </c>
      <c r="I163" s="132">
        <v>584</v>
      </c>
      <c r="J163" s="132">
        <f t="shared" si="0"/>
        <v>584</v>
      </c>
      <c r="K163" s="129" t="s">
        <v>148</v>
      </c>
      <c r="L163" s="27"/>
      <c r="M163" s="133" t="s">
        <v>1</v>
      </c>
      <c r="N163" s="134" t="s">
        <v>39</v>
      </c>
      <c r="O163" s="135">
        <v>0.16700000000000001</v>
      </c>
      <c r="P163" s="135">
        <f t="shared" si="1"/>
        <v>0.16700000000000001</v>
      </c>
      <c r="Q163" s="135">
        <v>1.9400000000000001E-3</v>
      </c>
      <c r="R163" s="135">
        <f t="shared" si="2"/>
        <v>1.9400000000000001E-3</v>
      </c>
      <c r="S163" s="135">
        <v>0</v>
      </c>
      <c r="T163" s="136">
        <f t="shared" si="3"/>
        <v>0</v>
      </c>
      <c r="AR163" s="137" t="s">
        <v>149</v>
      </c>
      <c r="AT163" s="137" t="s">
        <v>144</v>
      </c>
      <c r="AU163" s="137" t="s">
        <v>143</v>
      </c>
      <c r="AY163" s="15" t="s">
        <v>141</v>
      </c>
      <c r="BE163" s="138">
        <f t="shared" si="4"/>
        <v>0</v>
      </c>
      <c r="BF163" s="138">
        <f t="shared" si="5"/>
        <v>584</v>
      </c>
      <c r="BG163" s="138">
        <f t="shared" si="6"/>
        <v>0</v>
      </c>
      <c r="BH163" s="138">
        <f t="shared" si="7"/>
        <v>0</v>
      </c>
      <c r="BI163" s="138">
        <f t="shared" si="8"/>
        <v>0</v>
      </c>
      <c r="BJ163" s="15" t="s">
        <v>143</v>
      </c>
      <c r="BK163" s="138">
        <f t="shared" si="9"/>
        <v>584</v>
      </c>
      <c r="BL163" s="15" t="s">
        <v>149</v>
      </c>
      <c r="BM163" s="137" t="s">
        <v>2033</v>
      </c>
    </row>
    <row r="164" spans="2:65" s="1" customFormat="1" ht="44.25" customHeight="1">
      <c r="B164" s="126"/>
      <c r="C164" s="127" t="s">
        <v>8</v>
      </c>
      <c r="D164" s="127" t="s">
        <v>144</v>
      </c>
      <c r="E164" s="128" t="s">
        <v>2032</v>
      </c>
      <c r="F164" s="129" t="s">
        <v>2031</v>
      </c>
      <c r="G164" s="130" t="s">
        <v>147</v>
      </c>
      <c r="H164" s="131">
        <v>1</v>
      </c>
      <c r="I164" s="132">
        <v>20100</v>
      </c>
      <c r="J164" s="132">
        <f t="shared" si="0"/>
        <v>20100</v>
      </c>
      <c r="K164" s="129" t="s">
        <v>148</v>
      </c>
      <c r="L164" s="27"/>
      <c r="M164" s="133" t="s">
        <v>1</v>
      </c>
      <c r="N164" s="134" t="s">
        <v>39</v>
      </c>
      <c r="O164" s="135">
        <v>1.167</v>
      </c>
      <c r="P164" s="135">
        <f t="shared" si="1"/>
        <v>1.167</v>
      </c>
      <c r="Q164" s="135">
        <v>0.23147000000000001</v>
      </c>
      <c r="R164" s="135">
        <f t="shared" si="2"/>
        <v>0.23147000000000001</v>
      </c>
      <c r="S164" s="135">
        <v>0</v>
      </c>
      <c r="T164" s="136">
        <f t="shared" si="3"/>
        <v>0</v>
      </c>
      <c r="AR164" s="137" t="s">
        <v>149</v>
      </c>
      <c r="AT164" s="137" t="s">
        <v>144</v>
      </c>
      <c r="AU164" s="137" t="s">
        <v>143</v>
      </c>
      <c r="AY164" s="15" t="s">
        <v>141</v>
      </c>
      <c r="BE164" s="138">
        <f t="shared" si="4"/>
        <v>0</v>
      </c>
      <c r="BF164" s="138">
        <f t="shared" si="5"/>
        <v>20100</v>
      </c>
      <c r="BG164" s="138">
        <f t="shared" si="6"/>
        <v>0</v>
      </c>
      <c r="BH164" s="138">
        <f t="shared" si="7"/>
        <v>0</v>
      </c>
      <c r="BI164" s="138">
        <f t="shared" si="8"/>
        <v>0</v>
      </c>
      <c r="BJ164" s="15" t="s">
        <v>143</v>
      </c>
      <c r="BK164" s="138">
        <f t="shared" si="9"/>
        <v>20100</v>
      </c>
      <c r="BL164" s="15" t="s">
        <v>149</v>
      </c>
      <c r="BM164" s="137" t="s">
        <v>2030</v>
      </c>
    </row>
    <row r="165" spans="2:65" s="1" customFormat="1" ht="37.9" customHeight="1">
      <c r="B165" s="126"/>
      <c r="C165" s="127" t="s">
        <v>206</v>
      </c>
      <c r="D165" s="127" t="s">
        <v>144</v>
      </c>
      <c r="E165" s="128" t="s">
        <v>2029</v>
      </c>
      <c r="F165" s="129" t="s">
        <v>2028</v>
      </c>
      <c r="G165" s="130" t="s">
        <v>147</v>
      </c>
      <c r="H165" s="131">
        <v>1</v>
      </c>
      <c r="I165" s="132">
        <v>44300</v>
      </c>
      <c r="J165" s="132">
        <f t="shared" si="0"/>
        <v>44300</v>
      </c>
      <c r="K165" s="129" t="s">
        <v>148</v>
      </c>
      <c r="L165" s="27"/>
      <c r="M165" s="133" t="s">
        <v>1</v>
      </c>
      <c r="N165" s="134" t="s">
        <v>39</v>
      </c>
      <c r="O165" s="135">
        <v>0.86199999999999999</v>
      </c>
      <c r="P165" s="135">
        <f t="shared" si="1"/>
        <v>0.86199999999999999</v>
      </c>
      <c r="Q165" s="135">
        <v>0.19089</v>
      </c>
      <c r="R165" s="135">
        <f t="shared" si="2"/>
        <v>0.19089</v>
      </c>
      <c r="S165" s="135">
        <v>0</v>
      </c>
      <c r="T165" s="136">
        <f t="shared" si="3"/>
        <v>0</v>
      </c>
      <c r="AR165" s="137" t="s">
        <v>149</v>
      </c>
      <c r="AT165" s="137" t="s">
        <v>144</v>
      </c>
      <c r="AU165" s="137" t="s">
        <v>143</v>
      </c>
      <c r="AY165" s="15" t="s">
        <v>141</v>
      </c>
      <c r="BE165" s="138">
        <f t="shared" si="4"/>
        <v>0</v>
      </c>
      <c r="BF165" s="138">
        <f t="shared" si="5"/>
        <v>44300</v>
      </c>
      <c r="BG165" s="138">
        <f t="shared" si="6"/>
        <v>0</v>
      </c>
      <c r="BH165" s="138">
        <f t="shared" si="7"/>
        <v>0</v>
      </c>
      <c r="BI165" s="138">
        <f t="shared" si="8"/>
        <v>0</v>
      </c>
      <c r="BJ165" s="15" t="s">
        <v>143</v>
      </c>
      <c r="BK165" s="138">
        <f t="shared" si="9"/>
        <v>44300</v>
      </c>
      <c r="BL165" s="15" t="s">
        <v>149</v>
      </c>
      <c r="BM165" s="137" t="s">
        <v>2027</v>
      </c>
    </row>
    <row r="166" spans="2:65" s="1" customFormat="1" ht="37.9" customHeight="1">
      <c r="B166" s="126"/>
      <c r="C166" s="127" t="s">
        <v>211</v>
      </c>
      <c r="D166" s="127" t="s">
        <v>144</v>
      </c>
      <c r="E166" s="128" t="s">
        <v>2026</v>
      </c>
      <c r="F166" s="129" t="s">
        <v>2025</v>
      </c>
      <c r="G166" s="130" t="s">
        <v>147</v>
      </c>
      <c r="H166" s="131">
        <v>1</v>
      </c>
      <c r="I166" s="132">
        <v>154</v>
      </c>
      <c r="J166" s="132">
        <f t="shared" si="0"/>
        <v>154</v>
      </c>
      <c r="K166" s="129" t="s">
        <v>148</v>
      </c>
      <c r="L166" s="27"/>
      <c r="M166" s="133" t="s">
        <v>1</v>
      </c>
      <c r="N166" s="134" t="s">
        <v>39</v>
      </c>
      <c r="O166" s="135">
        <v>0.41699999999999998</v>
      </c>
      <c r="P166" s="135">
        <f t="shared" si="1"/>
        <v>0.41699999999999998</v>
      </c>
      <c r="Q166" s="135">
        <v>0</v>
      </c>
      <c r="R166" s="135">
        <f t="shared" si="2"/>
        <v>0</v>
      </c>
      <c r="S166" s="135">
        <v>0</v>
      </c>
      <c r="T166" s="136">
        <f t="shared" si="3"/>
        <v>0</v>
      </c>
      <c r="AR166" s="137" t="s">
        <v>149</v>
      </c>
      <c r="AT166" s="137" t="s">
        <v>144</v>
      </c>
      <c r="AU166" s="137" t="s">
        <v>143</v>
      </c>
      <c r="AY166" s="15" t="s">
        <v>141</v>
      </c>
      <c r="BE166" s="138">
        <f t="shared" si="4"/>
        <v>0</v>
      </c>
      <c r="BF166" s="138">
        <f t="shared" si="5"/>
        <v>154</v>
      </c>
      <c r="BG166" s="138">
        <f t="shared" si="6"/>
        <v>0</v>
      </c>
      <c r="BH166" s="138">
        <f t="shared" si="7"/>
        <v>0</v>
      </c>
      <c r="BI166" s="138">
        <f t="shared" si="8"/>
        <v>0</v>
      </c>
      <c r="BJ166" s="15" t="s">
        <v>143</v>
      </c>
      <c r="BK166" s="138">
        <f t="shared" si="9"/>
        <v>154</v>
      </c>
      <c r="BL166" s="15" t="s">
        <v>149</v>
      </c>
      <c r="BM166" s="137" t="s">
        <v>2024</v>
      </c>
    </row>
    <row r="167" spans="2:65" s="1" customFormat="1" ht="44.25" customHeight="1">
      <c r="B167" s="126"/>
      <c r="C167" s="127" t="s">
        <v>215</v>
      </c>
      <c r="D167" s="127" t="s">
        <v>144</v>
      </c>
      <c r="E167" s="128" t="s">
        <v>2023</v>
      </c>
      <c r="F167" s="129" t="s">
        <v>2022</v>
      </c>
      <c r="G167" s="130" t="s">
        <v>147</v>
      </c>
      <c r="H167" s="131">
        <v>1</v>
      </c>
      <c r="I167" s="132">
        <v>13800</v>
      </c>
      <c r="J167" s="132">
        <f t="shared" si="0"/>
        <v>13800</v>
      </c>
      <c r="K167" s="129" t="s">
        <v>148</v>
      </c>
      <c r="L167" s="27"/>
      <c r="M167" s="133" t="s">
        <v>1</v>
      </c>
      <c r="N167" s="134" t="s">
        <v>39</v>
      </c>
      <c r="O167" s="135">
        <v>0.16700000000000001</v>
      </c>
      <c r="P167" s="135">
        <f t="shared" si="1"/>
        <v>0.16700000000000001</v>
      </c>
      <c r="Q167" s="135">
        <v>0.22422</v>
      </c>
      <c r="R167" s="135">
        <f t="shared" si="2"/>
        <v>0.22422</v>
      </c>
      <c r="S167" s="135">
        <v>0</v>
      </c>
      <c r="T167" s="136">
        <f t="shared" si="3"/>
        <v>0</v>
      </c>
      <c r="AR167" s="137" t="s">
        <v>149</v>
      </c>
      <c r="AT167" s="137" t="s">
        <v>144</v>
      </c>
      <c r="AU167" s="137" t="s">
        <v>143</v>
      </c>
      <c r="AY167" s="15" t="s">
        <v>141</v>
      </c>
      <c r="BE167" s="138">
        <f t="shared" si="4"/>
        <v>0</v>
      </c>
      <c r="BF167" s="138">
        <f t="shared" si="5"/>
        <v>13800</v>
      </c>
      <c r="BG167" s="138">
        <f t="shared" si="6"/>
        <v>0</v>
      </c>
      <c r="BH167" s="138">
        <f t="shared" si="7"/>
        <v>0</v>
      </c>
      <c r="BI167" s="138">
        <f t="shared" si="8"/>
        <v>0</v>
      </c>
      <c r="BJ167" s="15" t="s">
        <v>143</v>
      </c>
      <c r="BK167" s="138">
        <f t="shared" si="9"/>
        <v>13800</v>
      </c>
      <c r="BL167" s="15" t="s">
        <v>149</v>
      </c>
      <c r="BM167" s="137" t="s">
        <v>2021</v>
      </c>
    </row>
    <row r="168" spans="2:65" s="1" customFormat="1" ht="33" customHeight="1">
      <c r="B168" s="126"/>
      <c r="C168" s="127" t="s">
        <v>217</v>
      </c>
      <c r="D168" s="127" t="s">
        <v>144</v>
      </c>
      <c r="E168" s="128" t="s">
        <v>2020</v>
      </c>
      <c r="F168" s="129" t="s">
        <v>2019</v>
      </c>
      <c r="G168" s="130" t="s">
        <v>147</v>
      </c>
      <c r="H168" s="131">
        <v>2</v>
      </c>
      <c r="I168" s="132">
        <v>707</v>
      </c>
      <c r="J168" s="132">
        <f t="shared" si="0"/>
        <v>1414</v>
      </c>
      <c r="K168" s="129" t="s">
        <v>148</v>
      </c>
      <c r="L168" s="27"/>
      <c r="M168" s="133" t="s">
        <v>1</v>
      </c>
      <c r="N168" s="134" t="s">
        <v>39</v>
      </c>
      <c r="O168" s="135">
        <v>0.25</v>
      </c>
      <c r="P168" s="135">
        <f t="shared" si="1"/>
        <v>0.5</v>
      </c>
      <c r="Q168" s="135">
        <v>6.2E-4</v>
      </c>
      <c r="R168" s="135">
        <f t="shared" si="2"/>
        <v>1.24E-3</v>
      </c>
      <c r="S168" s="135">
        <v>0</v>
      </c>
      <c r="T168" s="136">
        <f t="shared" si="3"/>
        <v>0</v>
      </c>
      <c r="AR168" s="137" t="s">
        <v>149</v>
      </c>
      <c r="AT168" s="137" t="s">
        <v>144</v>
      </c>
      <c r="AU168" s="137" t="s">
        <v>143</v>
      </c>
      <c r="AY168" s="15" t="s">
        <v>141</v>
      </c>
      <c r="BE168" s="138">
        <f t="shared" si="4"/>
        <v>0</v>
      </c>
      <c r="BF168" s="138">
        <f t="shared" si="5"/>
        <v>1414</v>
      </c>
      <c r="BG168" s="138">
        <f t="shared" si="6"/>
        <v>0</v>
      </c>
      <c r="BH168" s="138">
        <f t="shared" si="7"/>
        <v>0</v>
      </c>
      <c r="BI168" s="138">
        <f t="shared" si="8"/>
        <v>0</v>
      </c>
      <c r="BJ168" s="15" t="s">
        <v>143</v>
      </c>
      <c r="BK168" s="138">
        <f t="shared" si="9"/>
        <v>1414</v>
      </c>
      <c r="BL168" s="15" t="s">
        <v>149</v>
      </c>
      <c r="BM168" s="137" t="s">
        <v>2018</v>
      </c>
    </row>
    <row r="169" spans="2:65" s="1" customFormat="1" ht="49.15" customHeight="1">
      <c r="B169" s="126"/>
      <c r="C169" s="127" t="s">
        <v>221</v>
      </c>
      <c r="D169" s="127" t="s">
        <v>144</v>
      </c>
      <c r="E169" s="128" t="s">
        <v>2017</v>
      </c>
      <c r="F169" s="129" t="s">
        <v>2016</v>
      </c>
      <c r="G169" s="130" t="s">
        <v>162</v>
      </c>
      <c r="H169" s="131">
        <v>25</v>
      </c>
      <c r="I169" s="132">
        <v>8880</v>
      </c>
      <c r="J169" s="132">
        <f t="shared" si="0"/>
        <v>222000</v>
      </c>
      <c r="K169" s="129" t="s">
        <v>148</v>
      </c>
      <c r="L169" s="27"/>
      <c r="M169" s="133" t="s">
        <v>1</v>
      </c>
      <c r="N169" s="134" t="s">
        <v>39</v>
      </c>
      <c r="O169" s="135">
        <v>4.5</v>
      </c>
      <c r="P169" s="135">
        <f t="shared" si="1"/>
        <v>112.5</v>
      </c>
      <c r="Q169" s="135">
        <v>6.1199999999999997E-2</v>
      </c>
      <c r="R169" s="135">
        <f t="shared" si="2"/>
        <v>1.53</v>
      </c>
      <c r="S169" s="135">
        <v>0</v>
      </c>
      <c r="T169" s="136">
        <f t="shared" si="3"/>
        <v>0</v>
      </c>
      <c r="AR169" s="137" t="s">
        <v>149</v>
      </c>
      <c r="AT169" s="137" t="s">
        <v>144</v>
      </c>
      <c r="AU169" s="137" t="s">
        <v>143</v>
      </c>
      <c r="AY169" s="15" t="s">
        <v>141</v>
      </c>
      <c r="BE169" s="138">
        <f t="shared" si="4"/>
        <v>0</v>
      </c>
      <c r="BF169" s="138">
        <f t="shared" si="5"/>
        <v>222000</v>
      </c>
      <c r="BG169" s="138">
        <f t="shared" si="6"/>
        <v>0</v>
      </c>
      <c r="BH169" s="138">
        <f t="shared" si="7"/>
        <v>0</v>
      </c>
      <c r="BI169" s="138">
        <f t="shared" si="8"/>
        <v>0</v>
      </c>
      <c r="BJ169" s="15" t="s">
        <v>143</v>
      </c>
      <c r="BK169" s="138">
        <f t="shared" si="9"/>
        <v>222000</v>
      </c>
      <c r="BL169" s="15" t="s">
        <v>149</v>
      </c>
      <c r="BM169" s="137" t="s">
        <v>2015</v>
      </c>
    </row>
    <row r="170" spans="2:65" s="11" customFormat="1" ht="25.9" customHeight="1">
      <c r="B170" s="115"/>
      <c r="D170" s="116" t="s">
        <v>72</v>
      </c>
      <c r="E170" s="117" t="s">
        <v>516</v>
      </c>
      <c r="F170" s="117" t="s">
        <v>517</v>
      </c>
      <c r="J170" s="118">
        <f>BK170</f>
        <v>1202153.8800000001</v>
      </c>
      <c r="L170" s="115"/>
      <c r="M170" s="119"/>
      <c r="P170" s="120">
        <f>P171+P198+P225+P247+P252+P257</f>
        <v>836.88612499999977</v>
      </c>
      <c r="R170" s="120">
        <f>R171+R198+R225+R247+R252+R257</f>
        <v>4.2917399999999999</v>
      </c>
      <c r="T170" s="121">
        <f>T171+T198+T225+T247+T252+T257</f>
        <v>0</v>
      </c>
      <c r="AR170" s="116" t="s">
        <v>143</v>
      </c>
      <c r="AT170" s="122" t="s">
        <v>72</v>
      </c>
      <c r="AU170" s="122" t="s">
        <v>73</v>
      </c>
      <c r="AY170" s="116" t="s">
        <v>141</v>
      </c>
      <c r="BK170" s="123">
        <f>BK171+BK198+BK225+BK247+BK252+BK257</f>
        <v>1202153.8800000001</v>
      </c>
    </row>
    <row r="171" spans="2:65" s="11" customFormat="1" ht="22.9" customHeight="1">
      <c r="B171" s="115"/>
      <c r="D171" s="116" t="s">
        <v>72</v>
      </c>
      <c r="E171" s="124" t="s">
        <v>705</v>
      </c>
      <c r="F171" s="124" t="s">
        <v>2014</v>
      </c>
      <c r="J171" s="125">
        <f>BK171</f>
        <v>434128.14</v>
      </c>
      <c r="L171" s="115"/>
      <c r="M171" s="119"/>
      <c r="P171" s="120">
        <f>SUM(P172:P197)</f>
        <v>294.46989999999994</v>
      </c>
      <c r="R171" s="120">
        <f>SUM(R172:R197)</f>
        <v>2.57043</v>
      </c>
      <c r="T171" s="121">
        <f>SUM(T172:T197)</f>
        <v>0</v>
      </c>
      <c r="AR171" s="116" t="s">
        <v>143</v>
      </c>
      <c r="AT171" s="122" t="s">
        <v>72</v>
      </c>
      <c r="AU171" s="122" t="s">
        <v>81</v>
      </c>
      <c r="AY171" s="116" t="s">
        <v>141</v>
      </c>
      <c r="BK171" s="123">
        <f>SUM(BK172:BK197)</f>
        <v>434128.14</v>
      </c>
    </row>
    <row r="172" spans="2:65" s="1" customFormat="1" ht="16.5" customHeight="1">
      <c r="B172" s="126"/>
      <c r="C172" s="127" t="s">
        <v>7</v>
      </c>
      <c r="D172" s="127" t="s">
        <v>144</v>
      </c>
      <c r="E172" s="128" t="s">
        <v>2013</v>
      </c>
      <c r="F172" s="129" t="s">
        <v>2012</v>
      </c>
      <c r="G172" s="130" t="s">
        <v>193</v>
      </c>
      <c r="H172" s="131">
        <v>90</v>
      </c>
      <c r="I172" s="132">
        <v>515</v>
      </c>
      <c r="J172" s="132">
        <f t="shared" ref="J172:J197" si="10">ROUND(I172*H172,2)</f>
        <v>46350</v>
      </c>
      <c r="K172" s="129" t="s">
        <v>148</v>
      </c>
      <c r="L172" s="27"/>
      <c r="M172" s="133" t="s">
        <v>1</v>
      </c>
      <c r="N172" s="134" t="s">
        <v>39</v>
      </c>
      <c r="O172" s="135">
        <v>0.47799999999999998</v>
      </c>
      <c r="P172" s="135">
        <f t="shared" ref="P172:P197" si="11">O172*H172</f>
        <v>43.019999999999996</v>
      </c>
      <c r="Q172" s="135">
        <v>1.6800000000000001E-3</v>
      </c>
      <c r="R172" s="135">
        <f t="shared" ref="R172:R197" si="12">Q172*H172</f>
        <v>0.1512</v>
      </c>
      <c r="S172" s="135">
        <v>0</v>
      </c>
      <c r="T172" s="136">
        <f t="shared" ref="T172:T197" si="13">S172*H172</f>
        <v>0</v>
      </c>
      <c r="AR172" s="137" t="s">
        <v>206</v>
      </c>
      <c r="AT172" s="137" t="s">
        <v>144</v>
      </c>
      <c r="AU172" s="137" t="s">
        <v>143</v>
      </c>
      <c r="AY172" s="15" t="s">
        <v>141</v>
      </c>
      <c r="BE172" s="138">
        <f t="shared" ref="BE172:BE197" si="14">IF(N172="základní",J172,0)</f>
        <v>0</v>
      </c>
      <c r="BF172" s="138">
        <f t="shared" ref="BF172:BF197" si="15">IF(N172="snížená",J172,0)</f>
        <v>46350</v>
      </c>
      <c r="BG172" s="138">
        <f t="shared" ref="BG172:BG197" si="16">IF(N172="zákl. přenesená",J172,0)</f>
        <v>0</v>
      </c>
      <c r="BH172" s="138">
        <f t="shared" ref="BH172:BH197" si="17">IF(N172="sníž. přenesená",J172,0)</f>
        <v>0</v>
      </c>
      <c r="BI172" s="138">
        <f t="shared" ref="BI172:BI197" si="18">IF(N172="nulová",J172,0)</f>
        <v>0</v>
      </c>
      <c r="BJ172" s="15" t="s">
        <v>143</v>
      </c>
      <c r="BK172" s="138">
        <f t="shared" ref="BK172:BK197" si="19">ROUND(I172*H172,2)</f>
        <v>46350</v>
      </c>
      <c r="BL172" s="15" t="s">
        <v>206</v>
      </c>
      <c r="BM172" s="137" t="s">
        <v>2011</v>
      </c>
    </row>
    <row r="173" spans="2:65" s="1" customFormat="1" ht="16.5" customHeight="1">
      <c r="B173" s="126"/>
      <c r="C173" s="127" t="s">
        <v>228</v>
      </c>
      <c r="D173" s="127" t="s">
        <v>144</v>
      </c>
      <c r="E173" s="128" t="s">
        <v>2010</v>
      </c>
      <c r="F173" s="129" t="s">
        <v>2009</v>
      </c>
      <c r="G173" s="130" t="s">
        <v>193</v>
      </c>
      <c r="H173" s="131">
        <v>50</v>
      </c>
      <c r="I173" s="132">
        <v>634</v>
      </c>
      <c r="J173" s="132">
        <f t="shared" si="10"/>
        <v>31700</v>
      </c>
      <c r="K173" s="129" t="s">
        <v>148</v>
      </c>
      <c r="L173" s="27"/>
      <c r="M173" s="133" t="s">
        <v>1</v>
      </c>
      <c r="N173" s="134" t="s">
        <v>39</v>
      </c>
      <c r="O173" s="135">
        <v>0.55700000000000005</v>
      </c>
      <c r="P173" s="135">
        <f t="shared" si="11"/>
        <v>27.85</v>
      </c>
      <c r="Q173" s="135">
        <v>1.91E-3</v>
      </c>
      <c r="R173" s="135">
        <f t="shared" si="12"/>
        <v>9.5500000000000002E-2</v>
      </c>
      <c r="S173" s="135">
        <v>0</v>
      </c>
      <c r="T173" s="136">
        <f t="shared" si="13"/>
        <v>0</v>
      </c>
      <c r="AR173" s="137" t="s">
        <v>206</v>
      </c>
      <c r="AT173" s="137" t="s">
        <v>144</v>
      </c>
      <c r="AU173" s="137" t="s">
        <v>143</v>
      </c>
      <c r="AY173" s="15" t="s">
        <v>141</v>
      </c>
      <c r="BE173" s="138">
        <f t="shared" si="14"/>
        <v>0</v>
      </c>
      <c r="BF173" s="138">
        <f t="shared" si="15"/>
        <v>31700</v>
      </c>
      <c r="BG173" s="138">
        <f t="shared" si="16"/>
        <v>0</v>
      </c>
      <c r="BH173" s="138">
        <f t="shared" si="17"/>
        <v>0</v>
      </c>
      <c r="BI173" s="138">
        <f t="shared" si="18"/>
        <v>0</v>
      </c>
      <c r="BJ173" s="15" t="s">
        <v>143</v>
      </c>
      <c r="BK173" s="138">
        <f t="shared" si="19"/>
        <v>31700</v>
      </c>
      <c r="BL173" s="15" t="s">
        <v>206</v>
      </c>
      <c r="BM173" s="137" t="s">
        <v>2008</v>
      </c>
    </row>
    <row r="174" spans="2:65" s="1" customFormat="1" ht="16.5" customHeight="1">
      <c r="B174" s="126"/>
      <c r="C174" s="127" t="s">
        <v>232</v>
      </c>
      <c r="D174" s="127" t="s">
        <v>144</v>
      </c>
      <c r="E174" s="128" t="s">
        <v>2007</v>
      </c>
      <c r="F174" s="129" t="s">
        <v>2006</v>
      </c>
      <c r="G174" s="130" t="s">
        <v>193</v>
      </c>
      <c r="H174" s="131">
        <v>20</v>
      </c>
      <c r="I174" s="132">
        <v>784</v>
      </c>
      <c r="J174" s="132">
        <f t="shared" si="10"/>
        <v>15680</v>
      </c>
      <c r="K174" s="129" t="s">
        <v>148</v>
      </c>
      <c r="L174" s="27"/>
      <c r="M174" s="133" t="s">
        <v>1</v>
      </c>
      <c r="N174" s="134" t="s">
        <v>39</v>
      </c>
      <c r="O174" s="135">
        <v>0.57399999999999995</v>
      </c>
      <c r="P174" s="135">
        <f t="shared" si="11"/>
        <v>11.479999999999999</v>
      </c>
      <c r="Q174" s="135">
        <v>3.0799999999999998E-3</v>
      </c>
      <c r="R174" s="135">
        <f t="shared" si="12"/>
        <v>6.1599999999999995E-2</v>
      </c>
      <c r="S174" s="135">
        <v>0</v>
      </c>
      <c r="T174" s="136">
        <f t="shared" si="13"/>
        <v>0</v>
      </c>
      <c r="AR174" s="137" t="s">
        <v>206</v>
      </c>
      <c r="AT174" s="137" t="s">
        <v>144</v>
      </c>
      <c r="AU174" s="137" t="s">
        <v>143</v>
      </c>
      <c r="AY174" s="15" t="s">
        <v>141</v>
      </c>
      <c r="BE174" s="138">
        <f t="shared" si="14"/>
        <v>0</v>
      </c>
      <c r="BF174" s="138">
        <f t="shared" si="15"/>
        <v>15680</v>
      </c>
      <c r="BG174" s="138">
        <f t="shared" si="16"/>
        <v>0</v>
      </c>
      <c r="BH174" s="138">
        <f t="shared" si="17"/>
        <v>0</v>
      </c>
      <c r="BI174" s="138">
        <f t="shared" si="18"/>
        <v>0</v>
      </c>
      <c r="BJ174" s="15" t="s">
        <v>143</v>
      </c>
      <c r="BK174" s="138">
        <f t="shared" si="19"/>
        <v>15680</v>
      </c>
      <c r="BL174" s="15" t="s">
        <v>206</v>
      </c>
      <c r="BM174" s="137" t="s">
        <v>2005</v>
      </c>
    </row>
    <row r="175" spans="2:65" s="1" customFormat="1" ht="21.75" customHeight="1">
      <c r="B175" s="126"/>
      <c r="C175" s="127" t="s">
        <v>236</v>
      </c>
      <c r="D175" s="127" t="s">
        <v>144</v>
      </c>
      <c r="E175" s="128" t="s">
        <v>2004</v>
      </c>
      <c r="F175" s="129" t="s">
        <v>2003</v>
      </c>
      <c r="G175" s="130" t="s">
        <v>193</v>
      </c>
      <c r="H175" s="131">
        <v>75</v>
      </c>
      <c r="I175" s="132">
        <v>420</v>
      </c>
      <c r="J175" s="132">
        <f t="shared" si="10"/>
        <v>31500</v>
      </c>
      <c r="K175" s="129" t="s">
        <v>148</v>
      </c>
      <c r="L175" s="27"/>
      <c r="M175" s="133" t="s">
        <v>1</v>
      </c>
      <c r="N175" s="134" t="s">
        <v>39</v>
      </c>
      <c r="O175" s="135">
        <v>0.36299999999999999</v>
      </c>
      <c r="P175" s="135">
        <f t="shared" si="11"/>
        <v>27.224999999999998</v>
      </c>
      <c r="Q175" s="135">
        <v>1.42E-3</v>
      </c>
      <c r="R175" s="135">
        <f t="shared" si="12"/>
        <v>0.1065</v>
      </c>
      <c r="S175" s="135">
        <v>0</v>
      </c>
      <c r="T175" s="136">
        <f t="shared" si="13"/>
        <v>0</v>
      </c>
      <c r="AR175" s="137" t="s">
        <v>206</v>
      </c>
      <c r="AT175" s="137" t="s">
        <v>144</v>
      </c>
      <c r="AU175" s="137" t="s">
        <v>143</v>
      </c>
      <c r="AY175" s="15" t="s">
        <v>141</v>
      </c>
      <c r="BE175" s="138">
        <f t="shared" si="14"/>
        <v>0</v>
      </c>
      <c r="BF175" s="138">
        <f t="shared" si="15"/>
        <v>31500</v>
      </c>
      <c r="BG175" s="138">
        <f t="shared" si="16"/>
        <v>0</v>
      </c>
      <c r="BH175" s="138">
        <f t="shared" si="17"/>
        <v>0</v>
      </c>
      <c r="BI175" s="138">
        <f t="shared" si="18"/>
        <v>0</v>
      </c>
      <c r="BJ175" s="15" t="s">
        <v>143</v>
      </c>
      <c r="BK175" s="138">
        <f t="shared" si="19"/>
        <v>31500</v>
      </c>
      <c r="BL175" s="15" t="s">
        <v>206</v>
      </c>
      <c r="BM175" s="137" t="s">
        <v>2002</v>
      </c>
    </row>
    <row r="176" spans="2:65" s="1" customFormat="1" ht="21.75" customHeight="1">
      <c r="B176" s="126"/>
      <c r="C176" s="127" t="s">
        <v>240</v>
      </c>
      <c r="D176" s="127" t="s">
        <v>144</v>
      </c>
      <c r="E176" s="128" t="s">
        <v>2001</v>
      </c>
      <c r="F176" s="129" t="s">
        <v>2000</v>
      </c>
      <c r="G176" s="130" t="s">
        <v>193</v>
      </c>
      <c r="H176" s="131">
        <v>120</v>
      </c>
      <c r="I176" s="132">
        <v>577</v>
      </c>
      <c r="J176" s="132">
        <f t="shared" si="10"/>
        <v>69240</v>
      </c>
      <c r="K176" s="129" t="s">
        <v>148</v>
      </c>
      <c r="L176" s="27"/>
      <c r="M176" s="133" t="s">
        <v>1</v>
      </c>
      <c r="N176" s="134" t="s">
        <v>39</v>
      </c>
      <c r="O176" s="135">
        <v>0.38300000000000001</v>
      </c>
      <c r="P176" s="135">
        <f t="shared" si="11"/>
        <v>45.96</v>
      </c>
      <c r="Q176" s="135">
        <v>7.4400000000000004E-3</v>
      </c>
      <c r="R176" s="135">
        <f t="shared" si="12"/>
        <v>0.89280000000000004</v>
      </c>
      <c r="S176" s="135">
        <v>0</v>
      </c>
      <c r="T176" s="136">
        <f t="shared" si="13"/>
        <v>0</v>
      </c>
      <c r="AR176" s="137" t="s">
        <v>206</v>
      </c>
      <c r="AT176" s="137" t="s">
        <v>144</v>
      </c>
      <c r="AU176" s="137" t="s">
        <v>143</v>
      </c>
      <c r="AY176" s="15" t="s">
        <v>141</v>
      </c>
      <c r="BE176" s="138">
        <f t="shared" si="14"/>
        <v>0</v>
      </c>
      <c r="BF176" s="138">
        <f t="shared" si="15"/>
        <v>69240</v>
      </c>
      <c r="BG176" s="138">
        <f t="shared" si="16"/>
        <v>0</v>
      </c>
      <c r="BH176" s="138">
        <f t="shared" si="17"/>
        <v>0</v>
      </c>
      <c r="BI176" s="138">
        <f t="shared" si="18"/>
        <v>0</v>
      </c>
      <c r="BJ176" s="15" t="s">
        <v>143</v>
      </c>
      <c r="BK176" s="138">
        <f t="shared" si="19"/>
        <v>69240</v>
      </c>
      <c r="BL176" s="15" t="s">
        <v>206</v>
      </c>
      <c r="BM176" s="137" t="s">
        <v>1999</v>
      </c>
    </row>
    <row r="177" spans="2:65" s="1" customFormat="1" ht="21.75" customHeight="1">
      <c r="B177" s="126"/>
      <c r="C177" s="127" t="s">
        <v>244</v>
      </c>
      <c r="D177" s="127" t="s">
        <v>144</v>
      </c>
      <c r="E177" s="128" t="s">
        <v>1998</v>
      </c>
      <c r="F177" s="129" t="s">
        <v>1997</v>
      </c>
      <c r="G177" s="130" t="s">
        <v>193</v>
      </c>
      <c r="H177" s="131">
        <v>30</v>
      </c>
      <c r="I177" s="132">
        <v>687</v>
      </c>
      <c r="J177" s="132">
        <f t="shared" si="10"/>
        <v>20610</v>
      </c>
      <c r="K177" s="129" t="s">
        <v>148</v>
      </c>
      <c r="L177" s="27"/>
      <c r="M177" s="133" t="s">
        <v>1</v>
      </c>
      <c r="N177" s="134" t="s">
        <v>39</v>
      </c>
      <c r="O177" s="135">
        <v>0.40400000000000003</v>
      </c>
      <c r="P177" s="135">
        <f t="shared" si="11"/>
        <v>12.120000000000001</v>
      </c>
      <c r="Q177" s="135">
        <v>1.2319999999999999E-2</v>
      </c>
      <c r="R177" s="135">
        <f t="shared" si="12"/>
        <v>0.36959999999999998</v>
      </c>
      <c r="S177" s="135">
        <v>0</v>
      </c>
      <c r="T177" s="136">
        <f t="shared" si="13"/>
        <v>0</v>
      </c>
      <c r="AR177" s="137" t="s">
        <v>206</v>
      </c>
      <c r="AT177" s="137" t="s">
        <v>144</v>
      </c>
      <c r="AU177" s="137" t="s">
        <v>143</v>
      </c>
      <c r="AY177" s="15" t="s">
        <v>141</v>
      </c>
      <c r="BE177" s="138">
        <f t="shared" si="14"/>
        <v>0</v>
      </c>
      <c r="BF177" s="138">
        <f t="shared" si="15"/>
        <v>20610</v>
      </c>
      <c r="BG177" s="138">
        <f t="shared" si="16"/>
        <v>0</v>
      </c>
      <c r="BH177" s="138">
        <f t="shared" si="17"/>
        <v>0</v>
      </c>
      <c r="BI177" s="138">
        <f t="shared" si="18"/>
        <v>0</v>
      </c>
      <c r="BJ177" s="15" t="s">
        <v>143</v>
      </c>
      <c r="BK177" s="138">
        <f t="shared" si="19"/>
        <v>20610</v>
      </c>
      <c r="BL177" s="15" t="s">
        <v>206</v>
      </c>
      <c r="BM177" s="137" t="s">
        <v>1996</v>
      </c>
    </row>
    <row r="178" spans="2:65" s="1" customFormat="1" ht="21.75" customHeight="1">
      <c r="B178" s="126"/>
      <c r="C178" s="127" t="s">
        <v>249</v>
      </c>
      <c r="D178" s="127" t="s">
        <v>144</v>
      </c>
      <c r="E178" s="128" t="s">
        <v>1995</v>
      </c>
      <c r="F178" s="129" t="s">
        <v>1994</v>
      </c>
      <c r="G178" s="130" t="s">
        <v>193</v>
      </c>
      <c r="H178" s="131">
        <v>40</v>
      </c>
      <c r="I178" s="132">
        <v>1040</v>
      </c>
      <c r="J178" s="132">
        <f t="shared" si="10"/>
        <v>41600</v>
      </c>
      <c r="K178" s="129" t="s">
        <v>148</v>
      </c>
      <c r="L178" s="27"/>
      <c r="M178" s="133" t="s">
        <v>1</v>
      </c>
      <c r="N178" s="134" t="s">
        <v>39</v>
      </c>
      <c r="O178" s="135">
        <v>0.42499999999999999</v>
      </c>
      <c r="P178" s="135">
        <f t="shared" si="11"/>
        <v>17</v>
      </c>
      <c r="Q178" s="135">
        <v>1.975E-2</v>
      </c>
      <c r="R178" s="135">
        <f t="shared" si="12"/>
        <v>0.79</v>
      </c>
      <c r="S178" s="135">
        <v>0</v>
      </c>
      <c r="T178" s="136">
        <f t="shared" si="13"/>
        <v>0</v>
      </c>
      <c r="AR178" s="137" t="s">
        <v>206</v>
      </c>
      <c r="AT178" s="137" t="s">
        <v>144</v>
      </c>
      <c r="AU178" s="137" t="s">
        <v>143</v>
      </c>
      <c r="AY178" s="15" t="s">
        <v>141</v>
      </c>
      <c r="BE178" s="138">
        <f t="shared" si="14"/>
        <v>0</v>
      </c>
      <c r="BF178" s="138">
        <f t="shared" si="15"/>
        <v>41600</v>
      </c>
      <c r="BG178" s="138">
        <f t="shared" si="16"/>
        <v>0</v>
      </c>
      <c r="BH178" s="138">
        <f t="shared" si="17"/>
        <v>0</v>
      </c>
      <c r="BI178" s="138">
        <f t="shared" si="18"/>
        <v>0</v>
      </c>
      <c r="BJ178" s="15" t="s">
        <v>143</v>
      </c>
      <c r="BK178" s="138">
        <f t="shared" si="19"/>
        <v>41600</v>
      </c>
      <c r="BL178" s="15" t="s">
        <v>206</v>
      </c>
      <c r="BM178" s="137" t="s">
        <v>1993</v>
      </c>
    </row>
    <row r="179" spans="2:65" s="1" customFormat="1" ht="24.2" customHeight="1">
      <c r="B179" s="126"/>
      <c r="C179" s="127" t="s">
        <v>253</v>
      </c>
      <c r="D179" s="127" t="s">
        <v>144</v>
      </c>
      <c r="E179" s="128" t="s">
        <v>1992</v>
      </c>
      <c r="F179" s="129" t="s">
        <v>1991</v>
      </c>
      <c r="G179" s="130" t="s">
        <v>193</v>
      </c>
      <c r="H179" s="131">
        <v>20</v>
      </c>
      <c r="I179" s="132">
        <v>566</v>
      </c>
      <c r="J179" s="132">
        <f t="shared" si="10"/>
        <v>11320</v>
      </c>
      <c r="K179" s="129" t="s">
        <v>148</v>
      </c>
      <c r="L179" s="27"/>
      <c r="M179" s="133" t="s">
        <v>1</v>
      </c>
      <c r="N179" s="134" t="s">
        <v>39</v>
      </c>
      <c r="O179" s="135">
        <v>0.78</v>
      </c>
      <c r="P179" s="135">
        <f t="shared" si="11"/>
        <v>15.600000000000001</v>
      </c>
      <c r="Q179" s="135">
        <v>5.9000000000000003E-4</v>
      </c>
      <c r="R179" s="135">
        <f t="shared" si="12"/>
        <v>1.1800000000000001E-2</v>
      </c>
      <c r="S179" s="135">
        <v>0</v>
      </c>
      <c r="T179" s="136">
        <f t="shared" si="13"/>
        <v>0</v>
      </c>
      <c r="AR179" s="137" t="s">
        <v>206</v>
      </c>
      <c r="AT179" s="137" t="s">
        <v>144</v>
      </c>
      <c r="AU179" s="137" t="s">
        <v>143</v>
      </c>
      <c r="AY179" s="15" t="s">
        <v>141</v>
      </c>
      <c r="BE179" s="138">
        <f t="shared" si="14"/>
        <v>0</v>
      </c>
      <c r="BF179" s="138">
        <f t="shared" si="15"/>
        <v>11320</v>
      </c>
      <c r="BG179" s="138">
        <f t="shared" si="16"/>
        <v>0</v>
      </c>
      <c r="BH179" s="138">
        <f t="shared" si="17"/>
        <v>0</v>
      </c>
      <c r="BI179" s="138">
        <f t="shared" si="18"/>
        <v>0</v>
      </c>
      <c r="BJ179" s="15" t="s">
        <v>143</v>
      </c>
      <c r="BK179" s="138">
        <f t="shared" si="19"/>
        <v>11320</v>
      </c>
      <c r="BL179" s="15" t="s">
        <v>206</v>
      </c>
      <c r="BM179" s="137" t="s">
        <v>1990</v>
      </c>
    </row>
    <row r="180" spans="2:65" s="1" customFormat="1" ht="21.75" customHeight="1">
      <c r="B180" s="126"/>
      <c r="C180" s="127" t="s">
        <v>257</v>
      </c>
      <c r="D180" s="127" t="s">
        <v>144</v>
      </c>
      <c r="E180" s="128" t="s">
        <v>1989</v>
      </c>
      <c r="F180" s="129" t="s">
        <v>1988</v>
      </c>
      <c r="G180" s="130" t="s">
        <v>193</v>
      </c>
      <c r="H180" s="131">
        <v>25</v>
      </c>
      <c r="I180" s="132">
        <v>468</v>
      </c>
      <c r="J180" s="132">
        <f t="shared" si="10"/>
        <v>11700</v>
      </c>
      <c r="K180" s="129" t="s">
        <v>148</v>
      </c>
      <c r="L180" s="27"/>
      <c r="M180" s="133" t="s">
        <v>1</v>
      </c>
      <c r="N180" s="134" t="s">
        <v>39</v>
      </c>
      <c r="O180" s="135">
        <v>0.65900000000000003</v>
      </c>
      <c r="P180" s="135">
        <f t="shared" si="11"/>
        <v>16.475000000000001</v>
      </c>
      <c r="Q180" s="135">
        <v>4.0999999999999999E-4</v>
      </c>
      <c r="R180" s="135">
        <f t="shared" si="12"/>
        <v>1.025E-2</v>
      </c>
      <c r="S180" s="135">
        <v>0</v>
      </c>
      <c r="T180" s="136">
        <f t="shared" si="13"/>
        <v>0</v>
      </c>
      <c r="AR180" s="137" t="s">
        <v>206</v>
      </c>
      <c r="AT180" s="137" t="s">
        <v>144</v>
      </c>
      <c r="AU180" s="137" t="s">
        <v>143</v>
      </c>
      <c r="AY180" s="15" t="s">
        <v>141</v>
      </c>
      <c r="BE180" s="138">
        <f t="shared" si="14"/>
        <v>0</v>
      </c>
      <c r="BF180" s="138">
        <f t="shared" si="15"/>
        <v>11700</v>
      </c>
      <c r="BG180" s="138">
        <f t="shared" si="16"/>
        <v>0</v>
      </c>
      <c r="BH180" s="138">
        <f t="shared" si="17"/>
        <v>0</v>
      </c>
      <c r="BI180" s="138">
        <f t="shared" si="18"/>
        <v>0</v>
      </c>
      <c r="BJ180" s="15" t="s">
        <v>143</v>
      </c>
      <c r="BK180" s="138">
        <f t="shared" si="19"/>
        <v>11700</v>
      </c>
      <c r="BL180" s="15" t="s">
        <v>206</v>
      </c>
      <c r="BM180" s="137" t="s">
        <v>1987</v>
      </c>
    </row>
    <row r="181" spans="2:65" s="1" customFormat="1" ht="21.75" customHeight="1">
      <c r="B181" s="126"/>
      <c r="C181" s="127" t="s">
        <v>261</v>
      </c>
      <c r="D181" s="127" t="s">
        <v>144</v>
      </c>
      <c r="E181" s="128" t="s">
        <v>1986</v>
      </c>
      <c r="F181" s="129" t="s">
        <v>1985</v>
      </c>
      <c r="G181" s="130" t="s">
        <v>193</v>
      </c>
      <c r="H181" s="131">
        <v>25</v>
      </c>
      <c r="I181" s="132">
        <v>509</v>
      </c>
      <c r="J181" s="132">
        <f t="shared" si="10"/>
        <v>12725</v>
      </c>
      <c r="K181" s="129" t="s">
        <v>148</v>
      </c>
      <c r="L181" s="27"/>
      <c r="M181" s="133" t="s">
        <v>1</v>
      </c>
      <c r="N181" s="134" t="s">
        <v>39</v>
      </c>
      <c r="O181" s="135">
        <v>0.72799999999999998</v>
      </c>
      <c r="P181" s="135">
        <f t="shared" si="11"/>
        <v>18.2</v>
      </c>
      <c r="Q181" s="135">
        <v>4.8000000000000001E-4</v>
      </c>
      <c r="R181" s="135">
        <f t="shared" si="12"/>
        <v>1.2E-2</v>
      </c>
      <c r="S181" s="135">
        <v>0</v>
      </c>
      <c r="T181" s="136">
        <f t="shared" si="13"/>
        <v>0</v>
      </c>
      <c r="AR181" s="137" t="s">
        <v>206</v>
      </c>
      <c r="AT181" s="137" t="s">
        <v>144</v>
      </c>
      <c r="AU181" s="137" t="s">
        <v>143</v>
      </c>
      <c r="AY181" s="15" t="s">
        <v>141</v>
      </c>
      <c r="BE181" s="138">
        <f t="shared" si="14"/>
        <v>0</v>
      </c>
      <c r="BF181" s="138">
        <f t="shared" si="15"/>
        <v>12725</v>
      </c>
      <c r="BG181" s="138">
        <f t="shared" si="16"/>
        <v>0</v>
      </c>
      <c r="BH181" s="138">
        <f t="shared" si="17"/>
        <v>0</v>
      </c>
      <c r="BI181" s="138">
        <f t="shared" si="18"/>
        <v>0</v>
      </c>
      <c r="BJ181" s="15" t="s">
        <v>143</v>
      </c>
      <c r="BK181" s="138">
        <f t="shared" si="19"/>
        <v>12725</v>
      </c>
      <c r="BL181" s="15" t="s">
        <v>206</v>
      </c>
      <c r="BM181" s="137" t="s">
        <v>1984</v>
      </c>
    </row>
    <row r="182" spans="2:65" s="1" customFormat="1" ht="37.9" customHeight="1">
      <c r="B182" s="126"/>
      <c r="C182" s="127" t="s">
        <v>270</v>
      </c>
      <c r="D182" s="127" t="s">
        <v>144</v>
      </c>
      <c r="E182" s="128" t="s">
        <v>1983</v>
      </c>
      <c r="F182" s="129" t="s">
        <v>1982</v>
      </c>
      <c r="G182" s="130" t="s">
        <v>147</v>
      </c>
      <c r="H182" s="131">
        <v>5</v>
      </c>
      <c r="I182" s="132">
        <v>534</v>
      </c>
      <c r="J182" s="132">
        <f t="shared" si="10"/>
        <v>2670</v>
      </c>
      <c r="K182" s="129" t="s">
        <v>148</v>
      </c>
      <c r="L182" s="27"/>
      <c r="M182" s="133" t="s">
        <v>1</v>
      </c>
      <c r="N182" s="134" t="s">
        <v>39</v>
      </c>
      <c r="O182" s="135">
        <v>8.4000000000000005E-2</v>
      </c>
      <c r="P182" s="135">
        <f t="shared" si="11"/>
        <v>0.42000000000000004</v>
      </c>
      <c r="Q182" s="135">
        <v>1.4999999999999999E-4</v>
      </c>
      <c r="R182" s="135">
        <f t="shared" si="12"/>
        <v>7.4999999999999991E-4</v>
      </c>
      <c r="S182" s="135">
        <v>0</v>
      </c>
      <c r="T182" s="136">
        <f t="shared" si="13"/>
        <v>0</v>
      </c>
      <c r="AR182" s="137" t="s">
        <v>206</v>
      </c>
      <c r="AT182" s="137" t="s">
        <v>144</v>
      </c>
      <c r="AU182" s="137" t="s">
        <v>143</v>
      </c>
      <c r="AY182" s="15" t="s">
        <v>141</v>
      </c>
      <c r="BE182" s="138">
        <f t="shared" si="14"/>
        <v>0</v>
      </c>
      <c r="BF182" s="138">
        <f t="shared" si="15"/>
        <v>2670</v>
      </c>
      <c r="BG182" s="138">
        <f t="shared" si="16"/>
        <v>0</v>
      </c>
      <c r="BH182" s="138">
        <f t="shared" si="17"/>
        <v>0</v>
      </c>
      <c r="BI182" s="138">
        <f t="shared" si="18"/>
        <v>0</v>
      </c>
      <c r="BJ182" s="15" t="s">
        <v>143</v>
      </c>
      <c r="BK182" s="138">
        <f t="shared" si="19"/>
        <v>2670</v>
      </c>
      <c r="BL182" s="15" t="s">
        <v>206</v>
      </c>
      <c r="BM182" s="137" t="s">
        <v>1981</v>
      </c>
    </row>
    <row r="183" spans="2:65" s="1" customFormat="1" ht="24.2" customHeight="1">
      <c r="B183" s="126"/>
      <c r="C183" s="127" t="s">
        <v>274</v>
      </c>
      <c r="D183" s="127" t="s">
        <v>144</v>
      </c>
      <c r="E183" s="128" t="s">
        <v>1980</v>
      </c>
      <c r="F183" s="129" t="s">
        <v>1979</v>
      </c>
      <c r="G183" s="130" t="s">
        <v>147</v>
      </c>
      <c r="H183" s="131">
        <v>28</v>
      </c>
      <c r="I183" s="132">
        <v>83.9</v>
      </c>
      <c r="J183" s="132">
        <f t="shared" si="10"/>
        <v>2349.1999999999998</v>
      </c>
      <c r="K183" s="129" t="s">
        <v>148</v>
      </c>
      <c r="L183" s="27"/>
      <c r="M183" s="133" t="s">
        <v>1</v>
      </c>
      <c r="N183" s="134" t="s">
        <v>39</v>
      </c>
      <c r="O183" s="135">
        <v>0.157</v>
      </c>
      <c r="P183" s="135">
        <f t="shared" si="11"/>
        <v>4.3959999999999999</v>
      </c>
      <c r="Q183" s="135">
        <v>0</v>
      </c>
      <c r="R183" s="135">
        <f t="shared" si="12"/>
        <v>0</v>
      </c>
      <c r="S183" s="135">
        <v>0</v>
      </c>
      <c r="T183" s="136">
        <f t="shared" si="13"/>
        <v>0</v>
      </c>
      <c r="AR183" s="137" t="s">
        <v>206</v>
      </c>
      <c r="AT183" s="137" t="s">
        <v>144</v>
      </c>
      <c r="AU183" s="137" t="s">
        <v>143</v>
      </c>
      <c r="AY183" s="15" t="s">
        <v>141</v>
      </c>
      <c r="BE183" s="138">
        <f t="shared" si="14"/>
        <v>0</v>
      </c>
      <c r="BF183" s="138">
        <f t="shared" si="15"/>
        <v>2349.1999999999998</v>
      </c>
      <c r="BG183" s="138">
        <f t="shared" si="16"/>
        <v>0</v>
      </c>
      <c r="BH183" s="138">
        <f t="shared" si="17"/>
        <v>0</v>
      </c>
      <c r="BI183" s="138">
        <f t="shared" si="18"/>
        <v>0</v>
      </c>
      <c r="BJ183" s="15" t="s">
        <v>143</v>
      </c>
      <c r="BK183" s="138">
        <f t="shared" si="19"/>
        <v>2349.1999999999998</v>
      </c>
      <c r="BL183" s="15" t="s">
        <v>206</v>
      </c>
      <c r="BM183" s="137" t="s">
        <v>1978</v>
      </c>
    </row>
    <row r="184" spans="2:65" s="1" customFormat="1" ht="24.2" customHeight="1">
      <c r="B184" s="126"/>
      <c r="C184" s="127" t="s">
        <v>278</v>
      </c>
      <c r="D184" s="127" t="s">
        <v>144</v>
      </c>
      <c r="E184" s="128" t="s">
        <v>1977</v>
      </c>
      <c r="F184" s="129" t="s">
        <v>1976</v>
      </c>
      <c r="G184" s="130" t="s">
        <v>147</v>
      </c>
      <c r="H184" s="131">
        <v>13</v>
      </c>
      <c r="I184" s="132">
        <v>92.9</v>
      </c>
      <c r="J184" s="132">
        <f t="shared" si="10"/>
        <v>1207.7</v>
      </c>
      <c r="K184" s="129" t="s">
        <v>148</v>
      </c>
      <c r="L184" s="27"/>
      <c r="M184" s="133" t="s">
        <v>1</v>
      </c>
      <c r="N184" s="134" t="s">
        <v>39</v>
      </c>
      <c r="O184" s="135">
        <v>0.17399999999999999</v>
      </c>
      <c r="P184" s="135">
        <f t="shared" si="11"/>
        <v>2.262</v>
      </c>
      <c r="Q184" s="135">
        <v>0</v>
      </c>
      <c r="R184" s="135">
        <f t="shared" si="12"/>
        <v>0</v>
      </c>
      <c r="S184" s="135">
        <v>0</v>
      </c>
      <c r="T184" s="136">
        <f t="shared" si="13"/>
        <v>0</v>
      </c>
      <c r="AR184" s="137" t="s">
        <v>206</v>
      </c>
      <c r="AT184" s="137" t="s">
        <v>144</v>
      </c>
      <c r="AU184" s="137" t="s">
        <v>143</v>
      </c>
      <c r="AY184" s="15" t="s">
        <v>141</v>
      </c>
      <c r="BE184" s="138">
        <f t="shared" si="14"/>
        <v>0</v>
      </c>
      <c r="BF184" s="138">
        <f t="shared" si="15"/>
        <v>1207.7</v>
      </c>
      <c r="BG184" s="138">
        <f t="shared" si="16"/>
        <v>0</v>
      </c>
      <c r="BH184" s="138">
        <f t="shared" si="17"/>
        <v>0</v>
      </c>
      <c r="BI184" s="138">
        <f t="shared" si="18"/>
        <v>0</v>
      </c>
      <c r="BJ184" s="15" t="s">
        <v>143</v>
      </c>
      <c r="BK184" s="138">
        <f t="shared" si="19"/>
        <v>1207.7</v>
      </c>
      <c r="BL184" s="15" t="s">
        <v>206</v>
      </c>
      <c r="BM184" s="137" t="s">
        <v>1975</v>
      </c>
    </row>
    <row r="185" spans="2:65" s="1" customFormat="1" ht="24.2" customHeight="1">
      <c r="B185" s="126"/>
      <c r="C185" s="127" t="s">
        <v>282</v>
      </c>
      <c r="D185" s="127" t="s">
        <v>144</v>
      </c>
      <c r="E185" s="128" t="s">
        <v>1974</v>
      </c>
      <c r="F185" s="129" t="s">
        <v>1973</v>
      </c>
      <c r="G185" s="130" t="s">
        <v>147</v>
      </c>
      <c r="H185" s="131">
        <v>10</v>
      </c>
      <c r="I185" s="132">
        <v>138</v>
      </c>
      <c r="J185" s="132">
        <f t="shared" si="10"/>
        <v>1380</v>
      </c>
      <c r="K185" s="129" t="s">
        <v>148</v>
      </c>
      <c r="L185" s="27"/>
      <c r="M185" s="133" t="s">
        <v>1</v>
      </c>
      <c r="N185" s="134" t="s">
        <v>39</v>
      </c>
      <c r="O185" s="135">
        <v>0.25900000000000001</v>
      </c>
      <c r="P185" s="135">
        <f t="shared" si="11"/>
        <v>2.59</v>
      </c>
      <c r="Q185" s="135">
        <v>0</v>
      </c>
      <c r="R185" s="135">
        <f t="shared" si="12"/>
        <v>0</v>
      </c>
      <c r="S185" s="135">
        <v>0</v>
      </c>
      <c r="T185" s="136">
        <f t="shared" si="13"/>
        <v>0</v>
      </c>
      <c r="AR185" s="137" t="s">
        <v>206</v>
      </c>
      <c r="AT185" s="137" t="s">
        <v>144</v>
      </c>
      <c r="AU185" s="137" t="s">
        <v>143</v>
      </c>
      <c r="AY185" s="15" t="s">
        <v>141</v>
      </c>
      <c r="BE185" s="138">
        <f t="shared" si="14"/>
        <v>0</v>
      </c>
      <c r="BF185" s="138">
        <f t="shared" si="15"/>
        <v>1380</v>
      </c>
      <c r="BG185" s="138">
        <f t="shared" si="16"/>
        <v>0</v>
      </c>
      <c r="BH185" s="138">
        <f t="shared" si="17"/>
        <v>0</v>
      </c>
      <c r="BI185" s="138">
        <f t="shared" si="18"/>
        <v>0</v>
      </c>
      <c r="BJ185" s="15" t="s">
        <v>143</v>
      </c>
      <c r="BK185" s="138">
        <f t="shared" si="19"/>
        <v>1380</v>
      </c>
      <c r="BL185" s="15" t="s">
        <v>206</v>
      </c>
      <c r="BM185" s="137" t="s">
        <v>1972</v>
      </c>
    </row>
    <row r="186" spans="2:65" s="1" customFormat="1" ht="24.2" customHeight="1">
      <c r="B186" s="126"/>
      <c r="C186" s="127" t="s">
        <v>286</v>
      </c>
      <c r="D186" s="127" t="s">
        <v>144</v>
      </c>
      <c r="E186" s="128" t="s">
        <v>1971</v>
      </c>
      <c r="F186" s="129" t="s">
        <v>1970</v>
      </c>
      <c r="G186" s="130" t="s">
        <v>147</v>
      </c>
      <c r="H186" s="131">
        <v>5</v>
      </c>
      <c r="I186" s="132">
        <v>1390</v>
      </c>
      <c r="J186" s="132">
        <f t="shared" si="10"/>
        <v>6950</v>
      </c>
      <c r="K186" s="129" t="s">
        <v>148</v>
      </c>
      <c r="L186" s="27"/>
      <c r="M186" s="133" t="s">
        <v>1</v>
      </c>
      <c r="N186" s="134" t="s">
        <v>39</v>
      </c>
      <c r="O186" s="135">
        <v>0.46500000000000002</v>
      </c>
      <c r="P186" s="135">
        <f t="shared" si="11"/>
        <v>2.3250000000000002</v>
      </c>
      <c r="Q186" s="135">
        <v>1.1199999999999999E-3</v>
      </c>
      <c r="R186" s="135">
        <f t="shared" si="12"/>
        <v>5.5999999999999991E-3</v>
      </c>
      <c r="S186" s="135">
        <v>0</v>
      </c>
      <c r="T186" s="136">
        <f t="shared" si="13"/>
        <v>0</v>
      </c>
      <c r="AR186" s="137" t="s">
        <v>206</v>
      </c>
      <c r="AT186" s="137" t="s">
        <v>144</v>
      </c>
      <c r="AU186" s="137" t="s">
        <v>143</v>
      </c>
      <c r="AY186" s="15" t="s">
        <v>141</v>
      </c>
      <c r="BE186" s="138">
        <f t="shared" si="14"/>
        <v>0</v>
      </c>
      <c r="BF186" s="138">
        <f t="shared" si="15"/>
        <v>6950</v>
      </c>
      <c r="BG186" s="138">
        <f t="shared" si="16"/>
        <v>0</v>
      </c>
      <c r="BH186" s="138">
        <f t="shared" si="17"/>
        <v>0</v>
      </c>
      <c r="BI186" s="138">
        <f t="shared" si="18"/>
        <v>0</v>
      </c>
      <c r="BJ186" s="15" t="s">
        <v>143</v>
      </c>
      <c r="BK186" s="138">
        <f t="shared" si="19"/>
        <v>6950</v>
      </c>
      <c r="BL186" s="15" t="s">
        <v>206</v>
      </c>
      <c r="BM186" s="137" t="s">
        <v>1969</v>
      </c>
    </row>
    <row r="187" spans="2:65" s="1" customFormat="1" ht="24.2" customHeight="1">
      <c r="B187" s="126"/>
      <c r="C187" s="127" t="s">
        <v>290</v>
      </c>
      <c r="D187" s="127" t="s">
        <v>144</v>
      </c>
      <c r="E187" s="128" t="s">
        <v>1968</v>
      </c>
      <c r="F187" s="129" t="s">
        <v>1967</v>
      </c>
      <c r="G187" s="130" t="s">
        <v>147</v>
      </c>
      <c r="H187" s="131">
        <v>5</v>
      </c>
      <c r="I187" s="132">
        <v>2840</v>
      </c>
      <c r="J187" s="132">
        <f t="shared" si="10"/>
        <v>14200</v>
      </c>
      <c r="K187" s="129" t="s">
        <v>148</v>
      </c>
      <c r="L187" s="27"/>
      <c r="M187" s="133" t="s">
        <v>1</v>
      </c>
      <c r="N187" s="134" t="s">
        <v>39</v>
      </c>
      <c r="O187" s="135">
        <v>0.46500000000000002</v>
      </c>
      <c r="P187" s="135">
        <f t="shared" si="11"/>
        <v>2.3250000000000002</v>
      </c>
      <c r="Q187" s="135">
        <v>1.48E-3</v>
      </c>
      <c r="R187" s="135">
        <f t="shared" si="12"/>
        <v>7.4000000000000003E-3</v>
      </c>
      <c r="S187" s="135">
        <v>0</v>
      </c>
      <c r="T187" s="136">
        <f t="shared" si="13"/>
        <v>0</v>
      </c>
      <c r="AR187" s="137" t="s">
        <v>206</v>
      </c>
      <c r="AT187" s="137" t="s">
        <v>144</v>
      </c>
      <c r="AU187" s="137" t="s">
        <v>143</v>
      </c>
      <c r="AY187" s="15" t="s">
        <v>141</v>
      </c>
      <c r="BE187" s="138">
        <f t="shared" si="14"/>
        <v>0</v>
      </c>
      <c r="BF187" s="138">
        <f t="shared" si="15"/>
        <v>14200</v>
      </c>
      <c r="BG187" s="138">
        <f t="shared" si="16"/>
        <v>0</v>
      </c>
      <c r="BH187" s="138">
        <f t="shared" si="17"/>
        <v>0</v>
      </c>
      <c r="BI187" s="138">
        <f t="shared" si="18"/>
        <v>0</v>
      </c>
      <c r="BJ187" s="15" t="s">
        <v>143</v>
      </c>
      <c r="BK187" s="138">
        <f t="shared" si="19"/>
        <v>14200</v>
      </c>
      <c r="BL187" s="15" t="s">
        <v>206</v>
      </c>
      <c r="BM187" s="137" t="s">
        <v>1966</v>
      </c>
    </row>
    <row r="188" spans="2:65" s="1" customFormat="1" ht="24.2" customHeight="1">
      <c r="B188" s="126"/>
      <c r="C188" s="127" t="s">
        <v>294</v>
      </c>
      <c r="D188" s="127" t="s">
        <v>144</v>
      </c>
      <c r="E188" s="128" t="s">
        <v>1965</v>
      </c>
      <c r="F188" s="129" t="s">
        <v>1964</v>
      </c>
      <c r="G188" s="130" t="s">
        <v>147</v>
      </c>
      <c r="H188" s="131">
        <v>2</v>
      </c>
      <c r="I188" s="132">
        <v>11800</v>
      </c>
      <c r="J188" s="132">
        <f t="shared" si="10"/>
        <v>23600</v>
      </c>
      <c r="K188" s="129" t="s">
        <v>148</v>
      </c>
      <c r="L188" s="27"/>
      <c r="M188" s="133" t="s">
        <v>1</v>
      </c>
      <c r="N188" s="134" t="s">
        <v>39</v>
      </c>
      <c r="O188" s="135">
        <v>2.54</v>
      </c>
      <c r="P188" s="135">
        <f t="shared" si="11"/>
        <v>5.08</v>
      </c>
      <c r="Q188" s="135">
        <v>5.9500000000000004E-3</v>
      </c>
      <c r="R188" s="135">
        <f t="shared" si="12"/>
        <v>1.1900000000000001E-2</v>
      </c>
      <c r="S188" s="135">
        <v>0</v>
      </c>
      <c r="T188" s="136">
        <f t="shared" si="13"/>
        <v>0</v>
      </c>
      <c r="AR188" s="137" t="s">
        <v>206</v>
      </c>
      <c r="AT188" s="137" t="s">
        <v>144</v>
      </c>
      <c r="AU188" s="137" t="s">
        <v>143</v>
      </c>
      <c r="AY188" s="15" t="s">
        <v>141</v>
      </c>
      <c r="BE188" s="138">
        <f t="shared" si="14"/>
        <v>0</v>
      </c>
      <c r="BF188" s="138">
        <f t="shared" si="15"/>
        <v>23600</v>
      </c>
      <c r="BG188" s="138">
        <f t="shared" si="16"/>
        <v>0</v>
      </c>
      <c r="BH188" s="138">
        <f t="shared" si="17"/>
        <v>0</v>
      </c>
      <c r="BI188" s="138">
        <f t="shared" si="18"/>
        <v>0</v>
      </c>
      <c r="BJ188" s="15" t="s">
        <v>143</v>
      </c>
      <c r="BK188" s="138">
        <f t="shared" si="19"/>
        <v>23600</v>
      </c>
      <c r="BL188" s="15" t="s">
        <v>206</v>
      </c>
      <c r="BM188" s="137" t="s">
        <v>1963</v>
      </c>
    </row>
    <row r="189" spans="2:65" s="1" customFormat="1" ht="24.2" customHeight="1">
      <c r="B189" s="126"/>
      <c r="C189" s="127" t="s">
        <v>298</v>
      </c>
      <c r="D189" s="127" t="s">
        <v>144</v>
      </c>
      <c r="E189" s="128" t="s">
        <v>1962</v>
      </c>
      <c r="F189" s="129" t="s">
        <v>1961</v>
      </c>
      <c r="G189" s="130" t="s">
        <v>147</v>
      </c>
      <c r="H189" s="131">
        <v>3</v>
      </c>
      <c r="I189" s="132">
        <v>12500</v>
      </c>
      <c r="J189" s="132">
        <f t="shared" si="10"/>
        <v>37500</v>
      </c>
      <c r="K189" s="129" t="s">
        <v>148</v>
      </c>
      <c r="L189" s="27"/>
      <c r="M189" s="133" t="s">
        <v>1</v>
      </c>
      <c r="N189" s="134" t="s">
        <v>39</v>
      </c>
      <c r="O189" s="135">
        <v>2.54</v>
      </c>
      <c r="P189" s="135">
        <f t="shared" si="11"/>
        <v>7.62</v>
      </c>
      <c r="Q189" s="135">
        <v>5.2399999999999999E-3</v>
      </c>
      <c r="R189" s="135">
        <f t="shared" si="12"/>
        <v>1.5719999999999998E-2</v>
      </c>
      <c r="S189" s="135">
        <v>0</v>
      </c>
      <c r="T189" s="136">
        <f t="shared" si="13"/>
        <v>0</v>
      </c>
      <c r="AR189" s="137" t="s">
        <v>206</v>
      </c>
      <c r="AT189" s="137" t="s">
        <v>144</v>
      </c>
      <c r="AU189" s="137" t="s">
        <v>143</v>
      </c>
      <c r="AY189" s="15" t="s">
        <v>141</v>
      </c>
      <c r="BE189" s="138">
        <f t="shared" si="14"/>
        <v>0</v>
      </c>
      <c r="BF189" s="138">
        <f t="shared" si="15"/>
        <v>37500</v>
      </c>
      <c r="BG189" s="138">
        <f t="shared" si="16"/>
        <v>0</v>
      </c>
      <c r="BH189" s="138">
        <f t="shared" si="17"/>
        <v>0</v>
      </c>
      <c r="BI189" s="138">
        <f t="shared" si="18"/>
        <v>0</v>
      </c>
      <c r="BJ189" s="15" t="s">
        <v>143</v>
      </c>
      <c r="BK189" s="138">
        <f t="shared" si="19"/>
        <v>37500</v>
      </c>
      <c r="BL189" s="15" t="s">
        <v>206</v>
      </c>
      <c r="BM189" s="137" t="s">
        <v>1960</v>
      </c>
    </row>
    <row r="190" spans="2:65" s="1" customFormat="1" ht="24.2" customHeight="1">
      <c r="B190" s="126"/>
      <c r="C190" s="127" t="s">
        <v>302</v>
      </c>
      <c r="D190" s="127" t="s">
        <v>144</v>
      </c>
      <c r="E190" s="128" t="s">
        <v>1959</v>
      </c>
      <c r="F190" s="129" t="s">
        <v>1958</v>
      </c>
      <c r="G190" s="130" t="s">
        <v>147</v>
      </c>
      <c r="H190" s="131">
        <v>15</v>
      </c>
      <c r="I190" s="132">
        <v>837</v>
      </c>
      <c r="J190" s="132">
        <f t="shared" si="10"/>
        <v>12555</v>
      </c>
      <c r="K190" s="129" t="s">
        <v>148</v>
      </c>
      <c r="L190" s="27"/>
      <c r="M190" s="133" t="s">
        <v>1</v>
      </c>
      <c r="N190" s="134" t="s">
        <v>39</v>
      </c>
      <c r="O190" s="135">
        <v>0.113</v>
      </c>
      <c r="P190" s="135">
        <f t="shared" si="11"/>
        <v>1.6950000000000001</v>
      </c>
      <c r="Q190" s="135">
        <v>3.4000000000000002E-4</v>
      </c>
      <c r="R190" s="135">
        <f t="shared" si="12"/>
        <v>5.1000000000000004E-3</v>
      </c>
      <c r="S190" s="135">
        <v>0</v>
      </c>
      <c r="T190" s="136">
        <f t="shared" si="13"/>
        <v>0</v>
      </c>
      <c r="AR190" s="137" t="s">
        <v>206</v>
      </c>
      <c r="AT190" s="137" t="s">
        <v>144</v>
      </c>
      <c r="AU190" s="137" t="s">
        <v>143</v>
      </c>
      <c r="AY190" s="15" t="s">
        <v>141</v>
      </c>
      <c r="BE190" s="138">
        <f t="shared" si="14"/>
        <v>0</v>
      </c>
      <c r="BF190" s="138">
        <f t="shared" si="15"/>
        <v>12555</v>
      </c>
      <c r="BG190" s="138">
        <f t="shared" si="16"/>
        <v>0</v>
      </c>
      <c r="BH190" s="138">
        <f t="shared" si="17"/>
        <v>0</v>
      </c>
      <c r="BI190" s="138">
        <f t="shared" si="18"/>
        <v>0</v>
      </c>
      <c r="BJ190" s="15" t="s">
        <v>143</v>
      </c>
      <c r="BK190" s="138">
        <f t="shared" si="19"/>
        <v>12555</v>
      </c>
      <c r="BL190" s="15" t="s">
        <v>206</v>
      </c>
      <c r="BM190" s="137" t="s">
        <v>1957</v>
      </c>
    </row>
    <row r="191" spans="2:65" s="1" customFormat="1" ht="33" customHeight="1">
      <c r="B191" s="126"/>
      <c r="C191" s="127" t="s">
        <v>306</v>
      </c>
      <c r="D191" s="127" t="s">
        <v>144</v>
      </c>
      <c r="E191" s="128" t="s">
        <v>1956</v>
      </c>
      <c r="F191" s="129" t="s">
        <v>1955</v>
      </c>
      <c r="G191" s="130" t="s">
        <v>147</v>
      </c>
      <c r="H191" s="131">
        <v>6</v>
      </c>
      <c r="I191" s="132">
        <v>127</v>
      </c>
      <c r="J191" s="132">
        <f t="shared" si="10"/>
        <v>762</v>
      </c>
      <c r="K191" s="129" t="s">
        <v>148</v>
      </c>
      <c r="L191" s="27"/>
      <c r="M191" s="133" t="s">
        <v>1</v>
      </c>
      <c r="N191" s="134" t="s">
        <v>39</v>
      </c>
      <c r="O191" s="135">
        <v>0.22500000000000001</v>
      </c>
      <c r="P191" s="135">
        <f t="shared" si="11"/>
        <v>1.35</v>
      </c>
      <c r="Q191" s="135">
        <v>3.0000000000000001E-5</v>
      </c>
      <c r="R191" s="135">
        <f t="shared" si="12"/>
        <v>1.8000000000000001E-4</v>
      </c>
      <c r="S191" s="135">
        <v>0</v>
      </c>
      <c r="T191" s="136">
        <f t="shared" si="13"/>
        <v>0</v>
      </c>
      <c r="AR191" s="137" t="s">
        <v>206</v>
      </c>
      <c r="AT191" s="137" t="s">
        <v>144</v>
      </c>
      <c r="AU191" s="137" t="s">
        <v>143</v>
      </c>
      <c r="AY191" s="15" t="s">
        <v>141</v>
      </c>
      <c r="BE191" s="138">
        <f t="shared" si="14"/>
        <v>0</v>
      </c>
      <c r="BF191" s="138">
        <f t="shared" si="15"/>
        <v>762</v>
      </c>
      <c r="BG191" s="138">
        <f t="shared" si="16"/>
        <v>0</v>
      </c>
      <c r="BH191" s="138">
        <f t="shared" si="17"/>
        <v>0</v>
      </c>
      <c r="BI191" s="138">
        <f t="shared" si="18"/>
        <v>0</v>
      </c>
      <c r="BJ191" s="15" t="s">
        <v>143</v>
      </c>
      <c r="BK191" s="138">
        <f t="shared" si="19"/>
        <v>762</v>
      </c>
      <c r="BL191" s="15" t="s">
        <v>206</v>
      </c>
      <c r="BM191" s="137" t="s">
        <v>1954</v>
      </c>
    </row>
    <row r="192" spans="2:65" s="1" customFormat="1" ht="37.9" customHeight="1">
      <c r="B192" s="126"/>
      <c r="C192" s="139" t="s">
        <v>310</v>
      </c>
      <c r="D192" s="139" t="s">
        <v>207</v>
      </c>
      <c r="E192" s="140" t="s">
        <v>1953</v>
      </c>
      <c r="F192" s="141" t="s">
        <v>1952</v>
      </c>
      <c r="G192" s="142" t="s">
        <v>147</v>
      </c>
      <c r="H192" s="143">
        <v>6</v>
      </c>
      <c r="I192" s="144">
        <v>2250</v>
      </c>
      <c r="J192" s="144">
        <f t="shared" si="10"/>
        <v>13500</v>
      </c>
      <c r="K192" s="141" t="s">
        <v>148</v>
      </c>
      <c r="L192" s="145"/>
      <c r="M192" s="146" t="s">
        <v>1</v>
      </c>
      <c r="N192" s="147" t="s">
        <v>39</v>
      </c>
      <c r="O192" s="135">
        <v>0</v>
      </c>
      <c r="P192" s="135">
        <f t="shared" si="11"/>
        <v>0</v>
      </c>
      <c r="Q192" s="135">
        <v>3.1099999999999999E-3</v>
      </c>
      <c r="R192" s="135">
        <f t="shared" si="12"/>
        <v>1.866E-2</v>
      </c>
      <c r="S192" s="135">
        <v>0</v>
      </c>
      <c r="T192" s="136">
        <f t="shared" si="13"/>
        <v>0</v>
      </c>
      <c r="AR192" s="137" t="s">
        <v>274</v>
      </c>
      <c r="AT192" s="137" t="s">
        <v>207</v>
      </c>
      <c r="AU192" s="137" t="s">
        <v>143</v>
      </c>
      <c r="AY192" s="15" t="s">
        <v>141</v>
      </c>
      <c r="BE192" s="138">
        <f t="shared" si="14"/>
        <v>0</v>
      </c>
      <c r="BF192" s="138">
        <f t="shared" si="15"/>
        <v>13500</v>
      </c>
      <c r="BG192" s="138">
        <f t="shared" si="16"/>
        <v>0</v>
      </c>
      <c r="BH192" s="138">
        <f t="shared" si="17"/>
        <v>0</v>
      </c>
      <c r="BI192" s="138">
        <f t="shared" si="18"/>
        <v>0</v>
      </c>
      <c r="BJ192" s="15" t="s">
        <v>143</v>
      </c>
      <c r="BK192" s="138">
        <f t="shared" si="19"/>
        <v>13500</v>
      </c>
      <c r="BL192" s="15" t="s">
        <v>206</v>
      </c>
      <c r="BM192" s="137" t="s">
        <v>1951</v>
      </c>
    </row>
    <row r="193" spans="2:65" s="1" customFormat="1" ht="24.2" customHeight="1">
      <c r="B193" s="126"/>
      <c r="C193" s="127" t="s">
        <v>314</v>
      </c>
      <c r="D193" s="127" t="s">
        <v>144</v>
      </c>
      <c r="E193" s="128" t="s">
        <v>1950</v>
      </c>
      <c r="F193" s="129" t="s">
        <v>1949</v>
      </c>
      <c r="G193" s="130" t="s">
        <v>147</v>
      </c>
      <c r="H193" s="131">
        <v>2</v>
      </c>
      <c r="I193" s="132">
        <v>3480</v>
      </c>
      <c r="J193" s="132">
        <f t="shared" si="10"/>
        <v>6960</v>
      </c>
      <c r="K193" s="129" t="s">
        <v>148</v>
      </c>
      <c r="L193" s="27"/>
      <c r="M193" s="133" t="s">
        <v>1</v>
      </c>
      <c r="N193" s="134" t="s">
        <v>39</v>
      </c>
      <c r="O193" s="135">
        <v>0.55900000000000005</v>
      </c>
      <c r="P193" s="135">
        <f t="shared" si="11"/>
        <v>1.1180000000000001</v>
      </c>
      <c r="Q193" s="135">
        <v>1.5E-3</v>
      </c>
      <c r="R193" s="135">
        <f t="shared" si="12"/>
        <v>3.0000000000000001E-3</v>
      </c>
      <c r="S193" s="135">
        <v>0</v>
      </c>
      <c r="T193" s="136">
        <f t="shared" si="13"/>
        <v>0</v>
      </c>
      <c r="AR193" s="137" t="s">
        <v>206</v>
      </c>
      <c r="AT193" s="137" t="s">
        <v>144</v>
      </c>
      <c r="AU193" s="137" t="s">
        <v>143</v>
      </c>
      <c r="AY193" s="15" t="s">
        <v>141</v>
      </c>
      <c r="BE193" s="138">
        <f t="shared" si="14"/>
        <v>0</v>
      </c>
      <c r="BF193" s="138">
        <f t="shared" si="15"/>
        <v>6960</v>
      </c>
      <c r="BG193" s="138">
        <f t="shared" si="16"/>
        <v>0</v>
      </c>
      <c r="BH193" s="138">
        <f t="shared" si="17"/>
        <v>0</v>
      </c>
      <c r="BI193" s="138">
        <f t="shared" si="18"/>
        <v>0</v>
      </c>
      <c r="BJ193" s="15" t="s">
        <v>143</v>
      </c>
      <c r="BK193" s="138">
        <f t="shared" si="19"/>
        <v>6960</v>
      </c>
      <c r="BL193" s="15" t="s">
        <v>206</v>
      </c>
      <c r="BM193" s="137" t="s">
        <v>1948</v>
      </c>
    </row>
    <row r="194" spans="2:65" s="1" customFormat="1" ht="16.5" customHeight="1">
      <c r="B194" s="126"/>
      <c r="C194" s="127" t="s">
        <v>318</v>
      </c>
      <c r="D194" s="127" t="s">
        <v>144</v>
      </c>
      <c r="E194" s="128" t="s">
        <v>1947</v>
      </c>
      <c r="F194" s="129" t="s">
        <v>1946</v>
      </c>
      <c r="G194" s="130" t="s">
        <v>147</v>
      </c>
      <c r="H194" s="131">
        <v>3</v>
      </c>
      <c r="I194" s="132">
        <v>939</v>
      </c>
      <c r="J194" s="132">
        <f t="shared" si="10"/>
        <v>2817</v>
      </c>
      <c r="K194" s="129" t="s">
        <v>148</v>
      </c>
      <c r="L194" s="27"/>
      <c r="M194" s="133" t="s">
        <v>1</v>
      </c>
      <c r="N194" s="134" t="s">
        <v>39</v>
      </c>
      <c r="O194" s="135">
        <v>0.17699999999999999</v>
      </c>
      <c r="P194" s="135">
        <f t="shared" si="11"/>
        <v>0.53099999999999992</v>
      </c>
      <c r="Q194" s="135">
        <v>2.9E-4</v>
      </c>
      <c r="R194" s="135">
        <f t="shared" si="12"/>
        <v>8.7000000000000001E-4</v>
      </c>
      <c r="S194" s="135">
        <v>0</v>
      </c>
      <c r="T194" s="136">
        <f t="shared" si="13"/>
        <v>0</v>
      </c>
      <c r="AR194" s="137" t="s">
        <v>206</v>
      </c>
      <c r="AT194" s="137" t="s">
        <v>144</v>
      </c>
      <c r="AU194" s="137" t="s">
        <v>143</v>
      </c>
      <c r="AY194" s="15" t="s">
        <v>141</v>
      </c>
      <c r="BE194" s="138">
        <f t="shared" si="14"/>
        <v>0</v>
      </c>
      <c r="BF194" s="138">
        <f t="shared" si="15"/>
        <v>2817</v>
      </c>
      <c r="BG194" s="138">
        <f t="shared" si="16"/>
        <v>0</v>
      </c>
      <c r="BH194" s="138">
        <f t="shared" si="17"/>
        <v>0</v>
      </c>
      <c r="BI194" s="138">
        <f t="shared" si="18"/>
        <v>0</v>
      </c>
      <c r="BJ194" s="15" t="s">
        <v>143</v>
      </c>
      <c r="BK194" s="138">
        <f t="shared" si="19"/>
        <v>2817</v>
      </c>
      <c r="BL194" s="15" t="s">
        <v>206</v>
      </c>
      <c r="BM194" s="137" t="s">
        <v>1945</v>
      </c>
    </row>
    <row r="195" spans="2:65" s="1" customFormat="1" ht="24.2" customHeight="1">
      <c r="B195" s="126"/>
      <c r="C195" s="127" t="s">
        <v>322</v>
      </c>
      <c r="D195" s="127" t="s">
        <v>144</v>
      </c>
      <c r="E195" s="128" t="s">
        <v>1944</v>
      </c>
      <c r="F195" s="129" t="s">
        <v>1943</v>
      </c>
      <c r="G195" s="130" t="s">
        <v>193</v>
      </c>
      <c r="H195" s="131">
        <v>415</v>
      </c>
      <c r="I195" s="132">
        <v>26.4</v>
      </c>
      <c r="J195" s="132">
        <f t="shared" si="10"/>
        <v>10956</v>
      </c>
      <c r="K195" s="129" t="s">
        <v>148</v>
      </c>
      <c r="L195" s="27"/>
      <c r="M195" s="133" t="s">
        <v>1</v>
      </c>
      <c r="N195" s="134" t="s">
        <v>39</v>
      </c>
      <c r="O195" s="135">
        <v>4.8000000000000001E-2</v>
      </c>
      <c r="P195" s="135">
        <f t="shared" si="11"/>
        <v>19.920000000000002</v>
      </c>
      <c r="Q195" s="135">
        <v>0</v>
      </c>
      <c r="R195" s="135">
        <f t="shared" si="12"/>
        <v>0</v>
      </c>
      <c r="S195" s="135">
        <v>0</v>
      </c>
      <c r="T195" s="136">
        <f t="shared" si="13"/>
        <v>0</v>
      </c>
      <c r="AR195" s="137" t="s">
        <v>206</v>
      </c>
      <c r="AT195" s="137" t="s">
        <v>144</v>
      </c>
      <c r="AU195" s="137" t="s">
        <v>143</v>
      </c>
      <c r="AY195" s="15" t="s">
        <v>141</v>
      </c>
      <c r="BE195" s="138">
        <f t="shared" si="14"/>
        <v>0</v>
      </c>
      <c r="BF195" s="138">
        <f t="shared" si="15"/>
        <v>10956</v>
      </c>
      <c r="BG195" s="138">
        <f t="shared" si="16"/>
        <v>0</v>
      </c>
      <c r="BH195" s="138">
        <f t="shared" si="17"/>
        <v>0</v>
      </c>
      <c r="BI195" s="138">
        <f t="shared" si="18"/>
        <v>0</v>
      </c>
      <c r="BJ195" s="15" t="s">
        <v>143</v>
      </c>
      <c r="BK195" s="138">
        <f t="shared" si="19"/>
        <v>10956</v>
      </c>
      <c r="BL195" s="15" t="s">
        <v>206</v>
      </c>
      <c r="BM195" s="137" t="s">
        <v>1942</v>
      </c>
    </row>
    <row r="196" spans="2:65" s="1" customFormat="1" ht="24.2" customHeight="1">
      <c r="B196" s="126"/>
      <c r="C196" s="127" t="s">
        <v>326</v>
      </c>
      <c r="D196" s="127" t="s">
        <v>144</v>
      </c>
      <c r="E196" s="128" t="s">
        <v>1941</v>
      </c>
      <c r="F196" s="129" t="s">
        <v>1940</v>
      </c>
      <c r="G196" s="130" t="s">
        <v>193</v>
      </c>
      <c r="H196" s="131">
        <v>70</v>
      </c>
      <c r="I196" s="132">
        <v>34.5</v>
      </c>
      <c r="J196" s="132">
        <f t="shared" si="10"/>
        <v>2415</v>
      </c>
      <c r="K196" s="129" t="s">
        <v>148</v>
      </c>
      <c r="L196" s="27"/>
      <c r="M196" s="133" t="s">
        <v>1</v>
      </c>
      <c r="N196" s="134" t="s">
        <v>39</v>
      </c>
      <c r="O196" s="135">
        <v>5.8999999999999997E-2</v>
      </c>
      <c r="P196" s="135">
        <f t="shared" si="11"/>
        <v>4.13</v>
      </c>
      <c r="Q196" s="135">
        <v>0</v>
      </c>
      <c r="R196" s="135">
        <f t="shared" si="12"/>
        <v>0</v>
      </c>
      <c r="S196" s="135">
        <v>0</v>
      </c>
      <c r="T196" s="136">
        <f t="shared" si="13"/>
        <v>0</v>
      </c>
      <c r="AR196" s="137" t="s">
        <v>206</v>
      </c>
      <c r="AT196" s="137" t="s">
        <v>144</v>
      </c>
      <c r="AU196" s="137" t="s">
        <v>143</v>
      </c>
      <c r="AY196" s="15" t="s">
        <v>141</v>
      </c>
      <c r="BE196" s="138">
        <f t="shared" si="14"/>
        <v>0</v>
      </c>
      <c r="BF196" s="138">
        <f t="shared" si="15"/>
        <v>2415</v>
      </c>
      <c r="BG196" s="138">
        <f t="shared" si="16"/>
        <v>0</v>
      </c>
      <c r="BH196" s="138">
        <f t="shared" si="17"/>
        <v>0</v>
      </c>
      <c r="BI196" s="138">
        <f t="shared" si="18"/>
        <v>0</v>
      </c>
      <c r="BJ196" s="15" t="s">
        <v>143</v>
      </c>
      <c r="BK196" s="138">
        <f t="shared" si="19"/>
        <v>2415</v>
      </c>
      <c r="BL196" s="15" t="s">
        <v>206</v>
      </c>
      <c r="BM196" s="137" t="s">
        <v>1939</v>
      </c>
    </row>
    <row r="197" spans="2:65" s="1" customFormat="1" ht="44.25" customHeight="1">
      <c r="B197" s="126"/>
      <c r="C197" s="127" t="s">
        <v>1364</v>
      </c>
      <c r="D197" s="127" t="s">
        <v>144</v>
      </c>
      <c r="E197" s="128" t="s">
        <v>1938</v>
      </c>
      <c r="F197" s="129" t="s">
        <v>1937</v>
      </c>
      <c r="G197" s="130" t="s">
        <v>179</v>
      </c>
      <c r="H197" s="131">
        <v>2.57</v>
      </c>
      <c r="I197" s="132">
        <v>732</v>
      </c>
      <c r="J197" s="132">
        <f t="shared" si="10"/>
        <v>1881.24</v>
      </c>
      <c r="K197" s="129" t="s">
        <v>148</v>
      </c>
      <c r="L197" s="27"/>
      <c r="M197" s="133" t="s">
        <v>1</v>
      </c>
      <c r="N197" s="134" t="s">
        <v>39</v>
      </c>
      <c r="O197" s="135">
        <v>1.47</v>
      </c>
      <c r="P197" s="135">
        <f t="shared" si="11"/>
        <v>3.7778999999999998</v>
      </c>
      <c r="Q197" s="135">
        <v>0</v>
      </c>
      <c r="R197" s="135">
        <f t="shared" si="12"/>
        <v>0</v>
      </c>
      <c r="S197" s="135">
        <v>0</v>
      </c>
      <c r="T197" s="136">
        <f t="shared" si="13"/>
        <v>0</v>
      </c>
      <c r="AR197" s="137" t="s">
        <v>206</v>
      </c>
      <c r="AT197" s="137" t="s">
        <v>144</v>
      </c>
      <c r="AU197" s="137" t="s">
        <v>143</v>
      </c>
      <c r="AY197" s="15" t="s">
        <v>141</v>
      </c>
      <c r="BE197" s="138">
        <f t="shared" si="14"/>
        <v>0</v>
      </c>
      <c r="BF197" s="138">
        <f t="shared" si="15"/>
        <v>1881.24</v>
      </c>
      <c r="BG197" s="138">
        <f t="shared" si="16"/>
        <v>0</v>
      </c>
      <c r="BH197" s="138">
        <f t="shared" si="17"/>
        <v>0</v>
      </c>
      <c r="BI197" s="138">
        <f t="shared" si="18"/>
        <v>0</v>
      </c>
      <c r="BJ197" s="15" t="s">
        <v>143</v>
      </c>
      <c r="BK197" s="138">
        <f t="shared" si="19"/>
        <v>1881.24</v>
      </c>
      <c r="BL197" s="15" t="s">
        <v>206</v>
      </c>
      <c r="BM197" s="137" t="s">
        <v>1936</v>
      </c>
    </row>
    <row r="198" spans="2:65" s="11" customFormat="1" ht="22.9" customHeight="1">
      <c r="B198" s="115"/>
      <c r="D198" s="116" t="s">
        <v>72</v>
      </c>
      <c r="E198" s="124" t="s">
        <v>1935</v>
      </c>
      <c r="F198" s="124" t="s">
        <v>1934</v>
      </c>
      <c r="J198" s="125">
        <f>BK198</f>
        <v>366039.09</v>
      </c>
      <c r="L198" s="115"/>
      <c r="M198" s="119"/>
      <c r="P198" s="120">
        <f>SUM(P199:P224)</f>
        <v>455.83964599999985</v>
      </c>
      <c r="R198" s="120">
        <f>SUM(R199:R224)</f>
        <v>0.89766000000000001</v>
      </c>
      <c r="T198" s="121">
        <f>SUM(T199:T224)</f>
        <v>0</v>
      </c>
      <c r="AR198" s="116" t="s">
        <v>143</v>
      </c>
      <c r="AT198" s="122" t="s">
        <v>72</v>
      </c>
      <c r="AU198" s="122" t="s">
        <v>81</v>
      </c>
      <c r="AY198" s="116" t="s">
        <v>141</v>
      </c>
      <c r="BK198" s="123">
        <f>SUM(BK199:BK224)</f>
        <v>366039.09</v>
      </c>
    </row>
    <row r="199" spans="2:65" s="1" customFormat="1" ht="33" customHeight="1">
      <c r="B199" s="126"/>
      <c r="C199" s="127" t="s">
        <v>1360</v>
      </c>
      <c r="D199" s="127" t="s">
        <v>144</v>
      </c>
      <c r="E199" s="128" t="s">
        <v>1933</v>
      </c>
      <c r="F199" s="129" t="s">
        <v>1932</v>
      </c>
      <c r="G199" s="130" t="s">
        <v>193</v>
      </c>
      <c r="H199" s="131">
        <v>150</v>
      </c>
      <c r="I199" s="132">
        <v>359</v>
      </c>
      <c r="J199" s="132">
        <f t="shared" ref="J199:J224" si="20">ROUND(I199*H199,2)</f>
        <v>53850</v>
      </c>
      <c r="K199" s="129" t="s">
        <v>148</v>
      </c>
      <c r="L199" s="27"/>
      <c r="M199" s="133" t="s">
        <v>1</v>
      </c>
      <c r="N199" s="134" t="s">
        <v>39</v>
      </c>
      <c r="O199" s="135">
        <v>0.52900000000000003</v>
      </c>
      <c r="P199" s="135">
        <f t="shared" ref="P199:P224" si="21">O199*H199</f>
        <v>79.350000000000009</v>
      </c>
      <c r="Q199" s="135">
        <v>9.7999999999999997E-4</v>
      </c>
      <c r="R199" s="135">
        <f t="shared" ref="R199:R224" si="22">Q199*H199</f>
        <v>0.14699999999999999</v>
      </c>
      <c r="S199" s="135">
        <v>0</v>
      </c>
      <c r="T199" s="136">
        <f t="shared" ref="T199:T224" si="23">S199*H199</f>
        <v>0</v>
      </c>
      <c r="AR199" s="137" t="s">
        <v>206</v>
      </c>
      <c r="AT199" s="137" t="s">
        <v>144</v>
      </c>
      <c r="AU199" s="137" t="s">
        <v>143</v>
      </c>
      <c r="AY199" s="15" t="s">
        <v>141</v>
      </c>
      <c r="BE199" s="138">
        <f t="shared" ref="BE199:BE224" si="24">IF(N199="základní",J199,0)</f>
        <v>0</v>
      </c>
      <c r="BF199" s="138">
        <f t="shared" ref="BF199:BF224" si="25">IF(N199="snížená",J199,0)</f>
        <v>53850</v>
      </c>
      <c r="BG199" s="138">
        <f t="shared" ref="BG199:BG224" si="26">IF(N199="zákl. přenesená",J199,0)</f>
        <v>0</v>
      </c>
      <c r="BH199" s="138">
        <f t="shared" ref="BH199:BH224" si="27">IF(N199="sníž. přenesená",J199,0)</f>
        <v>0</v>
      </c>
      <c r="BI199" s="138">
        <f t="shared" ref="BI199:BI224" si="28">IF(N199="nulová",J199,0)</f>
        <v>0</v>
      </c>
      <c r="BJ199" s="15" t="s">
        <v>143</v>
      </c>
      <c r="BK199" s="138">
        <f t="shared" ref="BK199:BK224" si="29">ROUND(I199*H199,2)</f>
        <v>53850</v>
      </c>
      <c r="BL199" s="15" t="s">
        <v>206</v>
      </c>
      <c r="BM199" s="137" t="s">
        <v>1931</v>
      </c>
    </row>
    <row r="200" spans="2:65" s="1" customFormat="1" ht="33" customHeight="1">
      <c r="B200" s="126"/>
      <c r="C200" s="127" t="s">
        <v>1356</v>
      </c>
      <c r="D200" s="127" t="s">
        <v>144</v>
      </c>
      <c r="E200" s="128" t="s">
        <v>1930</v>
      </c>
      <c r="F200" s="129" t="s">
        <v>1929</v>
      </c>
      <c r="G200" s="130" t="s">
        <v>193</v>
      </c>
      <c r="H200" s="131">
        <v>200</v>
      </c>
      <c r="I200" s="132">
        <v>437</v>
      </c>
      <c r="J200" s="132">
        <f t="shared" si="20"/>
        <v>87400</v>
      </c>
      <c r="K200" s="129" t="s">
        <v>148</v>
      </c>
      <c r="L200" s="27"/>
      <c r="M200" s="133" t="s">
        <v>1</v>
      </c>
      <c r="N200" s="134" t="s">
        <v>39</v>
      </c>
      <c r="O200" s="135">
        <v>0.61599999999999999</v>
      </c>
      <c r="P200" s="135">
        <f t="shared" si="21"/>
        <v>123.2</v>
      </c>
      <c r="Q200" s="135">
        <v>1.2600000000000001E-3</v>
      </c>
      <c r="R200" s="135">
        <f t="shared" si="22"/>
        <v>0.252</v>
      </c>
      <c r="S200" s="135">
        <v>0</v>
      </c>
      <c r="T200" s="136">
        <f t="shared" si="23"/>
        <v>0</v>
      </c>
      <c r="AR200" s="137" t="s">
        <v>206</v>
      </c>
      <c r="AT200" s="137" t="s">
        <v>144</v>
      </c>
      <c r="AU200" s="137" t="s">
        <v>143</v>
      </c>
      <c r="AY200" s="15" t="s">
        <v>141</v>
      </c>
      <c r="BE200" s="138">
        <f t="shared" si="24"/>
        <v>0</v>
      </c>
      <c r="BF200" s="138">
        <f t="shared" si="25"/>
        <v>87400</v>
      </c>
      <c r="BG200" s="138">
        <f t="shared" si="26"/>
        <v>0</v>
      </c>
      <c r="BH200" s="138">
        <f t="shared" si="27"/>
        <v>0</v>
      </c>
      <c r="BI200" s="138">
        <f t="shared" si="28"/>
        <v>0</v>
      </c>
      <c r="BJ200" s="15" t="s">
        <v>143</v>
      </c>
      <c r="BK200" s="138">
        <f t="shared" si="29"/>
        <v>87400</v>
      </c>
      <c r="BL200" s="15" t="s">
        <v>206</v>
      </c>
      <c r="BM200" s="137" t="s">
        <v>1928</v>
      </c>
    </row>
    <row r="201" spans="2:65" s="1" customFormat="1" ht="33" customHeight="1">
      <c r="B201" s="126"/>
      <c r="C201" s="127" t="s">
        <v>331</v>
      </c>
      <c r="D201" s="127" t="s">
        <v>144</v>
      </c>
      <c r="E201" s="128" t="s">
        <v>1927</v>
      </c>
      <c r="F201" s="129" t="s">
        <v>1926</v>
      </c>
      <c r="G201" s="130" t="s">
        <v>193</v>
      </c>
      <c r="H201" s="131">
        <v>60</v>
      </c>
      <c r="I201" s="132">
        <v>518</v>
      </c>
      <c r="J201" s="132">
        <f t="shared" si="20"/>
        <v>31080</v>
      </c>
      <c r="K201" s="129" t="s">
        <v>148</v>
      </c>
      <c r="L201" s="27"/>
      <c r="M201" s="133" t="s">
        <v>1</v>
      </c>
      <c r="N201" s="134" t="s">
        <v>39</v>
      </c>
      <c r="O201" s="135">
        <v>0.69599999999999995</v>
      </c>
      <c r="P201" s="135">
        <f t="shared" si="21"/>
        <v>41.76</v>
      </c>
      <c r="Q201" s="135">
        <v>1.5299999999999999E-3</v>
      </c>
      <c r="R201" s="135">
        <f t="shared" si="22"/>
        <v>9.1799999999999993E-2</v>
      </c>
      <c r="S201" s="135">
        <v>0</v>
      </c>
      <c r="T201" s="136">
        <f t="shared" si="23"/>
        <v>0</v>
      </c>
      <c r="AR201" s="137" t="s">
        <v>206</v>
      </c>
      <c r="AT201" s="137" t="s">
        <v>144</v>
      </c>
      <c r="AU201" s="137" t="s">
        <v>143</v>
      </c>
      <c r="AY201" s="15" t="s">
        <v>141</v>
      </c>
      <c r="BE201" s="138">
        <f t="shared" si="24"/>
        <v>0</v>
      </c>
      <c r="BF201" s="138">
        <f t="shared" si="25"/>
        <v>31080</v>
      </c>
      <c r="BG201" s="138">
        <f t="shared" si="26"/>
        <v>0</v>
      </c>
      <c r="BH201" s="138">
        <f t="shared" si="27"/>
        <v>0</v>
      </c>
      <c r="BI201" s="138">
        <f t="shared" si="28"/>
        <v>0</v>
      </c>
      <c r="BJ201" s="15" t="s">
        <v>143</v>
      </c>
      <c r="BK201" s="138">
        <f t="shared" si="29"/>
        <v>31080</v>
      </c>
      <c r="BL201" s="15" t="s">
        <v>206</v>
      </c>
      <c r="BM201" s="137" t="s">
        <v>1925</v>
      </c>
    </row>
    <row r="202" spans="2:65" s="1" customFormat="1" ht="33" customHeight="1">
      <c r="B202" s="126"/>
      <c r="C202" s="127" t="s">
        <v>335</v>
      </c>
      <c r="D202" s="127" t="s">
        <v>144</v>
      </c>
      <c r="E202" s="128" t="s">
        <v>1924</v>
      </c>
      <c r="F202" s="129" t="s">
        <v>1923</v>
      </c>
      <c r="G202" s="130" t="s">
        <v>193</v>
      </c>
      <c r="H202" s="131">
        <v>60</v>
      </c>
      <c r="I202" s="132">
        <v>613</v>
      </c>
      <c r="J202" s="132">
        <f t="shared" si="20"/>
        <v>36780</v>
      </c>
      <c r="K202" s="129" t="s">
        <v>148</v>
      </c>
      <c r="L202" s="27"/>
      <c r="M202" s="133" t="s">
        <v>1</v>
      </c>
      <c r="N202" s="134" t="s">
        <v>39</v>
      </c>
      <c r="O202" s="135">
        <v>0.74299999999999999</v>
      </c>
      <c r="P202" s="135">
        <f t="shared" si="21"/>
        <v>44.58</v>
      </c>
      <c r="Q202" s="135">
        <v>2.8400000000000001E-3</v>
      </c>
      <c r="R202" s="135">
        <f t="shared" si="22"/>
        <v>0.1704</v>
      </c>
      <c r="S202" s="135">
        <v>0</v>
      </c>
      <c r="T202" s="136">
        <f t="shared" si="23"/>
        <v>0</v>
      </c>
      <c r="AR202" s="137" t="s">
        <v>206</v>
      </c>
      <c r="AT202" s="137" t="s">
        <v>144</v>
      </c>
      <c r="AU202" s="137" t="s">
        <v>143</v>
      </c>
      <c r="AY202" s="15" t="s">
        <v>141</v>
      </c>
      <c r="BE202" s="138">
        <f t="shared" si="24"/>
        <v>0</v>
      </c>
      <c r="BF202" s="138">
        <f t="shared" si="25"/>
        <v>36780</v>
      </c>
      <c r="BG202" s="138">
        <f t="shared" si="26"/>
        <v>0</v>
      </c>
      <c r="BH202" s="138">
        <f t="shared" si="27"/>
        <v>0</v>
      </c>
      <c r="BI202" s="138">
        <f t="shared" si="28"/>
        <v>0</v>
      </c>
      <c r="BJ202" s="15" t="s">
        <v>143</v>
      </c>
      <c r="BK202" s="138">
        <f t="shared" si="29"/>
        <v>36780</v>
      </c>
      <c r="BL202" s="15" t="s">
        <v>206</v>
      </c>
      <c r="BM202" s="137" t="s">
        <v>1922</v>
      </c>
    </row>
    <row r="203" spans="2:65" s="1" customFormat="1" ht="55.5" customHeight="1">
      <c r="B203" s="126"/>
      <c r="C203" s="127" t="s">
        <v>339</v>
      </c>
      <c r="D203" s="127" t="s">
        <v>144</v>
      </c>
      <c r="E203" s="128" t="s">
        <v>1921</v>
      </c>
      <c r="F203" s="129" t="s">
        <v>1920</v>
      </c>
      <c r="G203" s="130" t="s">
        <v>193</v>
      </c>
      <c r="H203" s="131">
        <v>50</v>
      </c>
      <c r="I203" s="132">
        <v>66.099999999999994</v>
      </c>
      <c r="J203" s="132">
        <f t="shared" si="20"/>
        <v>3305</v>
      </c>
      <c r="K203" s="129" t="s">
        <v>148</v>
      </c>
      <c r="L203" s="27"/>
      <c r="M203" s="133" t="s">
        <v>1</v>
      </c>
      <c r="N203" s="134" t="s">
        <v>39</v>
      </c>
      <c r="O203" s="135">
        <v>0.10299999999999999</v>
      </c>
      <c r="P203" s="135">
        <f t="shared" si="21"/>
        <v>5.1499999999999995</v>
      </c>
      <c r="Q203" s="135">
        <v>5.0000000000000002E-5</v>
      </c>
      <c r="R203" s="135">
        <f t="shared" si="22"/>
        <v>2.5000000000000001E-3</v>
      </c>
      <c r="S203" s="135">
        <v>0</v>
      </c>
      <c r="T203" s="136">
        <f t="shared" si="23"/>
        <v>0</v>
      </c>
      <c r="AR203" s="137" t="s">
        <v>206</v>
      </c>
      <c r="AT203" s="137" t="s">
        <v>144</v>
      </c>
      <c r="AU203" s="137" t="s">
        <v>143</v>
      </c>
      <c r="AY203" s="15" t="s">
        <v>141</v>
      </c>
      <c r="BE203" s="138">
        <f t="shared" si="24"/>
        <v>0</v>
      </c>
      <c r="BF203" s="138">
        <f t="shared" si="25"/>
        <v>3305</v>
      </c>
      <c r="BG203" s="138">
        <f t="shared" si="26"/>
        <v>0</v>
      </c>
      <c r="BH203" s="138">
        <f t="shared" si="27"/>
        <v>0</v>
      </c>
      <c r="BI203" s="138">
        <f t="shared" si="28"/>
        <v>0</v>
      </c>
      <c r="BJ203" s="15" t="s">
        <v>143</v>
      </c>
      <c r="BK203" s="138">
        <f t="shared" si="29"/>
        <v>3305</v>
      </c>
      <c r="BL203" s="15" t="s">
        <v>206</v>
      </c>
      <c r="BM203" s="137" t="s">
        <v>1919</v>
      </c>
    </row>
    <row r="204" spans="2:65" s="1" customFormat="1" ht="55.5" customHeight="1">
      <c r="B204" s="126"/>
      <c r="C204" s="127" t="s">
        <v>347</v>
      </c>
      <c r="D204" s="127" t="s">
        <v>144</v>
      </c>
      <c r="E204" s="128" t="s">
        <v>1918</v>
      </c>
      <c r="F204" s="129" t="s">
        <v>1917</v>
      </c>
      <c r="G204" s="130" t="s">
        <v>193</v>
      </c>
      <c r="H204" s="131">
        <v>130</v>
      </c>
      <c r="I204" s="132">
        <v>75.3</v>
      </c>
      <c r="J204" s="132">
        <f t="shared" si="20"/>
        <v>9789</v>
      </c>
      <c r="K204" s="129" t="s">
        <v>148</v>
      </c>
      <c r="L204" s="27"/>
      <c r="M204" s="133" t="s">
        <v>1</v>
      </c>
      <c r="N204" s="134" t="s">
        <v>39</v>
      </c>
      <c r="O204" s="135">
        <v>0.10299999999999999</v>
      </c>
      <c r="P204" s="135">
        <f t="shared" si="21"/>
        <v>13.389999999999999</v>
      </c>
      <c r="Q204" s="135">
        <v>6.9999999999999994E-5</v>
      </c>
      <c r="R204" s="135">
        <f t="shared" si="22"/>
        <v>9.0999999999999987E-3</v>
      </c>
      <c r="S204" s="135">
        <v>0</v>
      </c>
      <c r="T204" s="136">
        <f t="shared" si="23"/>
        <v>0</v>
      </c>
      <c r="AR204" s="137" t="s">
        <v>206</v>
      </c>
      <c r="AT204" s="137" t="s">
        <v>144</v>
      </c>
      <c r="AU204" s="137" t="s">
        <v>143</v>
      </c>
      <c r="AY204" s="15" t="s">
        <v>141</v>
      </c>
      <c r="BE204" s="138">
        <f t="shared" si="24"/>
        <v>0</v>
      </c>
      <c r="BF204" s="138">
        <f t="shared" si="25"/>
        <v>9789</v>
      </c>
      <c r="BG204" s="138">
        <f t="shared" si="26"/>
        <v>0</v>
      </c>
      <c r="BH204" s="138">
        <f t="shared" si="27"/>
        <v>0</v>
      </c>
      <c r="BI204" s="138">
        <f t="shared" si="28"/>
        <v>0</v>
      </c>
      <c r="BJ204" s="15" t="s">
        <v>143</v>
      </c>
      <c r="BK204" s="138">
        <f t="shared" si="29"/>
        <v>9789</v>
      </c>
      <c r="BL204" s="15" t="s">
        <v>206</v>
      </c>
      <c r="BM204" s="137" t="s">
        <v>1916</v>
      </c>
    </row>
    <row r="205" spans="2:65" s="1" customFormat="1" ht="55.5" customHeight="1">
      <c r="B205" s="126"/>
      <c r="C205" s="127" t="s">
        <v>343</v>
      </c>
      <c r="D205" s="127" t="s">
        <v>144</v>
      </c>
      <c r="E205" s="128" t="s">
        <v>1915</v>
      </c>
      <c r="F205" s="129" t="s">
        <v>1914</v>
      </c>
      <c r="G205" s="130" t="s">
        <v>193</v>
      </c>
      <c r="H205" s="131">
        <v>100</v>
      </c>
      <c r="I205" s="132">
        <v>141</v>
      </c>
      <c r="J205" s="132">
        <f t="shared" si="20"/>
        <v>14100</v>
      </c>
      <c r="K205" s="129" t="s">
        <v>148</v>
      </c>
      <c r="L205" s="27"/>
      <c r="M205" s="133" t="s">
        <v>1</v>
      </c>
      <c r="N205" s="134" t="s">
        <v>39</v>
      </c>
      <c r="O205" s="135">
        <v>0.11799999999999999</v>
      </c>
      <c r="P205" s="135">
        <f t="shared" si="21"/>
        <v>11.799999999999999</v>
      </c>
      <c r="Q205" s="135">
        <v>2.0000000000000001E-4</v>
      </c>
      <c r="R205" s="135">
        <f t="shared" si="22"/>
        <v>0.02</v>
      </c>
      <c r="S205" s="135">
        <v>0</v>
      </c>
      <c r="T205" s="136">
        <f t="shared" si="23"/>
        <v>0</v>
      </c>
      <c r="AR205" s="137" t="s">
        <v>206</v>
      </c>
      <c r="AT205" s="137" t="s">
        <v>144</v>
      </c>
      <c r="AU205" s="137" t="s">
        <v>143</v>
      </c>
      <c r="AY205" s="15" t="s">
        <v>141</v>
      </c>
      <c r="BE205" s="138">
        <f t="shared" si="24"/>
        <v>0</v>
      </c>
      <c r="BF205" s="138">
        <f t="shared" si="25"/>
        <v>14100</v>
      </c>
      <c r="BG205" s="138">
        <f t="shared" si="26"/>
        <v>0</v>
      </c>
      <c r="BH205" s="138">
        <f t="shared" si="27"/>
        <v>0</v>
      </c>
      <c r="BI205" s="138">
        <f t="shared" si="28"/>
        <v>0</v>
      </c>
      <c r="BJ205" s="15" t="s">
        <v>143</v>
      </c>
      <c r="BK205" s="138">
        <f t="shared" si="29"/>
        <v>14100</v>
      </c>
      <c r="BL205" s="15" t="s">
        <v>206</v>
      </c>
      <c r="BM205" s="137" t="s">
        <v>1913</v>
      </c>
    </row>
    <row r="206" spans="2:65" s="1" customFormat="1" ht="55.5" customHeight="1">
      <c r="B206" s="126"/>
      <c r="C206" s="127" t="s">
        <v>351</v>
      </c>
      <c r="D206" s="127" t="s">
        <v>144</v>
      </c>
      <c r="E206" s="128" t="s">
        <v>1912</v>
      </c>
      <c r="F206" s="129" t="s">
        <v>1911</v>
      </c>
      <c r="G206" s="130" t="s">
        <v>193</v>
      </c>
      <c r="H206" s="131">
        <v>190</v>
      </c>
      <c r="I206" s="132">
        <v>169</v>
      </c>
      <c r="J206" s="132">
        <f t="shared" si="20"/>
        <v>32110</v>
      </c>
      <c r="K206" s="129" t="s">
        <v>148</v>
      </c>
      <c r="L206" s="27"/>
      <c r="M206" s="133" t="s">
        <v>1</v>
      </c>
      <c r="N206" s="134" t="s">
        <v>39</v>
      </c>
      <c r="O206" s="135">
        <v>0.11799999999999999</v>
      </c>
      <c r="P206" s="135">
        <f t="shared" si="21"/>
        <v>22.419999999999998</v>
      </c>
      <c r="Q206" s="135">
        <v>2.4000000000000001E-4</v>
      </c>
      <c r="R206" s="135">
        <f t="shared" si="22"/>
        <v>4.5600000000000002E-2</v>
      </c>
      <c r="S206" s="135">
        <v>0</v>
      </c>
      <c r="T206" s="136">
        <f t="shared" si="23"/>
        <v>0</v>
      </c>
      <c r="AR206" s="137" t="s">
        <v>206</v>
      </c>
      <c r="AT206" s="137" t="s">
        <v>144</v>
      </c>
      <c r="AU206" s="137" t="s">
        <v>143</v>
      </c>
      <c r="AY206" s="15" t="s">
        <v>141</v>
      </c>
      <c r="BE206" s="138">
        <f t="shared" si="24"/>
        <v>0</v>
      </c>
      <c r="BF206" s="138">
        <f t="shared" si="25"/>
        <v>32110</v>
      </c>
      <c r="BG206" s="138">
        <f t="shared" si="26"/>
        <v>0</v>
      </c>
      <c r="BH206" s="138">
        <f t="shared" si="27"/>
        <v>0</v>
      </c>
      <c r="BI206" s="138">
        <f t="shared" si="28"/>
        <v>0</v>
      </c>
      <c r="BJ206" s="15" t="s">
        <v>143</v>
      </c>
      <c r="BK206" s="138">
        <f t="shared" si="29"/>
        <v>32110</v>
      </c>
      <c r="BL206" s="15" t="s">
        <v>206</v>
      </c>
      <c r="BM206" s="137" t="s">
        <v>1910</v>
      </c>
    </row>
    <row r="207" spans="2:65" s="1" customFormat="1" ht="16.5" customHeight="1">
      <c r="B207" s="126"/>
      <c r="C207" s="127" t="s">
        <v>355</v>
      </c>
      <c r="D207" s="127" t="s">
        <v>144</v>
      </c>
      <c r="E207" s="128" t="s">
        <v>1909</v>
      </c>
      <c r="F207" s="129" t="s">
        <v>1908</v>
      </c>
      <c r="G207" s="130" t="s">
        <v>193</v>
      </c>
      <c r="H207" s="131">
        <v>20</v>
      </c>
      <c r="I207" s="132">
        <v>67.3</v>
      </c>
      <c r="J207" s="132">
        <f t="shared" si="20"/>
        <v>1346</v>
      </c>
      <c r="K207" s="129" t="s">
        <v>148</v>
      </c>
      <c r="L207" s="27"/>
      <c r="M207" s="133" t="s">
        <v>1</v>
      </c>
      <c r="N207" s="134" t="s">
        <v>39</v>
      </c>
      <c r="O207" s="135">
        <v>1.7000000000000001E-2</v>
      </c>
      <c r="P207" s="135">
        <f t="shared" si="21"/>
        <v>0.34</v>
      </c>
      <c r="Q207" s="135">
        <v>1.92E-3</v>
      </c>
      <c r="R207" s="135">
        <f t="shared" si="22"/>
        <v>3.8400000000000004E-2</v>
      </c>
      <c r="S207" s="135">
        <v>0</v>
      </c>
      <c r="T207" s="136">
        <f t="shared" si="23"/>
        <v>0</v>
      </c>
      <c r="AR207" s="137" t="s">
        <v>206</v>
      </c>
      <c r="AT207" s="137" t="s">
        <v>144</v>
      </c>
      <c r="AU207" s="137" t="s">
        <v>143</v>
      </c>
      <c r="AY207" s="15" t="s">
        <v>141</v>
      </c>
      <c r="BE207" s="138">
        <f t="shared" si="24"/>
        <v>0</v>
      </c>
      <c r="BF207" s="138">
        <f t="shared" si="25"/>
        <v>1346</v>
      </c>
      <c r="BG207" s="138">
        <f t="shared" si="26"/>
        <v>0</v>
      </c>
      <c r="BH207" s="138">
        <f t="shared" si="27"/>
        <v>0</v>
      </c>
      <c r="BI207" s="138">
        <f t="shared" si="28"/>
        <v>0</v>
      </c>
      <c r="BJ207" s="15" t="s">
        <v>143</v>
      </c>
      <c r="BK207" s="138">
        <f t="shared" si="29"/>
        <v>1346</v>
      </c>
      <c r="BL207" s="15" t="s">
        <v>206</v>
      </c>
      <c r="BM207" s="137" t="s">
        <v>1907</v>
      </c>
    </row>
    <row r="208" spans="2:65" s="1" customFormat="1" ht="24.2" customHeight="1">
      <c r="B208" s="126"/>
      <c r="C208" s="127" t="s">
        <v>359</v>
      </c>
      <c r="D208" s="127" t="s">
        <v>144</v>
      </c>
      <c r="E208" s="128" t="s">
        <v>1906</v>
      </c>
      <c r="F208" s="129" t="s">
        <v>1905</v>
      </c>
      <c r="G208" s="130" t="s">
        <v>147</v>
      </c>
      <c r="H208" s="131">
        <v>46</v>
      </c>
      <c r="I208" s="132">
        <v>227</v>
      </c>
      <c r="J208" s="132">
        <f t="shared" si="20"/>
        <v>10442</v>
      </c>
      <c r="K208" s="129" t="s">
        <v>148</v>
      </c>
      <c r="L208" s="27"/>
      <c r="M208" s="133" t="s">
        <v>1</v>
      </c>
      <c r="N208" s="134" t="s">
        <v>39</v>
      </c>
      <c r="O208" s="135">
        <v>0.42499999999999999</v>
      </c>
      <c r="P208" s="135">
        <f t="shared" si="21"/>
        <v>19.55</v>
      </c>
      <c r="Q208" s="135">
        <v>0</v>
      </c>
      <c r="R208" s="135">
        <f t="shared" si="22"/>
        <v>0</v>
      </c>
      <c r="S208" s="135">
        <v>0</v>
      </c>
      <c r="T208" s="136">
        <f t="shared" si="23"/>
        <v>0</v>
      </c>
      <c r="AR208" s="137" t="s">
        <v>206</v>
      </c>
      <c r="AT208" s="137" t="s">
        <v>144</v>
      </c>
      <c r="AU208" s="137" t="s">
        <v>143</v>
      </c>
      <c r="AY208" s="15" t="s">
        <v>141</v>
      </c>
      <c r="BE208" s="138">
        <f t="shared" si="24"/>
        <v>0</v>
      </c>
      <c r="BF208" s="138">
        <f t="shared" si="25"/>
        <v>10442</v>
      </c>
      <c r="BG208" s="138">
        <f t="shared" si="26"/>
        <v>0</v>
      </c>
      <c r="BH208" s="138">
        <f t="shared" si="27"/>
        <v>0</v>
      </c>
      <c r="BI208" s="138">
        <f t="shared" si="28"/>
        <v>0</v>
      </c>
      <c r="BJ208" s="15" t="s">
        <v>143</v>
      </c>
      <c r="BK208" s="138">
        <f t="shared" si="29"/>
        <v>10442</v>
      </c>
      <c r="BL208" s="15" t="s">
        <v>206</v>
      </c>
      <c r="BM208" s="137" t="s">
        <v>1904</v>
      </c>
    </row>
    <row r="209" spans="2:65" s="1" customFormat="1" ht="24.2" customHeight="1">
      <c r="B209" s="126"/>
      <c r="C209" s="127" t="s">
        <v>365</v>
      </c>
      <c r="D209" s="127" t="s">
        <v>144</v>
      </c>
      <c r="E209" s="128" t="s">
        <v>1903</v>
      </c>
      <c r="F209" s="129" t="s">
        <v>1902</v>
      </c>
      <c r="G209" s="130" t="s">
        <v>147</v>
      </c>
      <c r="H209" s="131">
        <v>18</v>
      </c>
      <c r="I209" s="132">
        <v>210</v>
      </c>
      <c r="J209" s="132">
        <f t="shared" si="20"/>
        <v>3780</v>
      </c>
      <c r="K209" s="129" t="s">
        <v>148</v>
      </c>
      <c r="L209" s="27"/>
      <c r="M209" s="133" t="s">
        <v>1</v>
      </c>
      <c r="N209" s="134" t="s">
        <v>39</v>
      </c>
      <c r="O209" s="135">
        <v>0.23</v>
      </c>
      <c r="P209" s="135">
        <f t="shared" si="21"/>
        <v>4.1400000000000006</v>
      </c>
      <c r="Q209" s="135">
        <v>1.2999999999999999E-4</v>
      </c>
      <c r="R209" s="135">
        <f t="shared" si="22"/>
        <v>2.3399999999999996E-3</v>
      </c>
      <c r="S209" s="135">
        <v>0</v>
      </c>
      <c r="T209" s="136">
        <f t="shared" si="23"/>
        <v>0</v>
      </c>
      <c r="AR209" s="137" t="s">
        <v>206</v>
      </c>
      <c r="AT209" s="137" t="s">
        <v>144</v>
      </c>
      <c r="AU209" s="137" t="s">
        <v>143</v>
      </c>
      <c r="AY209" s="15" t="s">
        <v>141</v>
      </c>
      <c r="BE209" s="138">
        <f t="shared" si="24"/>
        <v>0</v>
      </c>
      <c r="BF209" s="138">
        <f t="shared" si="25"/>
        <v>3780</v>
      </c>
      <c r="BG209" s="138">
        <f t="shared" si="26"/>
        <v>0</v>
      </c>
      <c r="BH209" s="138">
        <f t="shared" si="27"/>
        <v>0</v>
      </c>
      <c r="BI209" s="138">
        <f t="shared" si="28"/>
        <v>0</v>
      </c>
      <c r="BJ209" s="15" t="s">
        <v>143</v>
      </c>
      <c r="BK209" s="138">
        <f t="shared" si="29"/>
        <v>3780</v>
      </c>
      <c r="BL209" s="15" t="s">
        <v>206</v>
      </c>
      <c r="BM209" s="137" t="s">
        <v>1901</v>
      </c>
    </row>
    <row r="210" spans="2:65" s="1" customFormat="1" ht="21.75" customHeight="1">
      <c r="B210" s="126"/>
      <c r="C210" s="127" t="s">
        <v>370</v>
      </c>
      <c r="D210" s="127" t="s">
        <v>144</v>
      </c>
      <c r="E210" s="128" t="s">
        <v>1900</v>
      </c>
      <c r="F210" s="129" t="s">
        <v>1899</v>
      </c>
      <c r="G210" s="130" t="s">
        <v>1898</v>
      </c>
      <c r="H210" s="131">
        <v>28</v>
      </c>
      <c r="I210" s="132">
        <v>418</v>
      </c>
      <c r="J210" s="132">
        <f t="shared" si="20"/>
        <v>11704</v>
      </c>
      <c r="K210" s="129" t="s">
        <v>148</v>
      </c>
      <c r="L210" s="27"/>
      <c r="M210" s="133" t="s">
        <v>1</v>
      </c>
      <c r="N210" s="134" t="s">
        <v>39</v>
      </c>
      <c r="O210" s="135">
        <v>0.45700000000000002</v>
      </c>
      <c r="P210" s="135">
        <f t="shared" si="21"/>
        <v>12.796000000000001</v>
      </c>
      <c r="Q210" s="135">
        <v>2.5000000000000001E-4</v>
      </c>
      <c r="R210" s="135">
        <f t="shared" si="22"/>
        <v>7.0000000000000001E-3</v>
      </c>
      <c r="S210" s="135">
        <v>0</v>
      </c>
      <c r="T210" s="136">
        <f t="shared" si="23"/>
        <v>0</v>
      </c>
      <c r="AR210" s="137" t="s">
        <v>206</v>
      </c>
      <c r="AT210" s="137" t="s">
        <v>144</v>
      </c>
      <c r="AU210" s="137" t="s">
        <v>143</v>
      </c>
      <c r="AY210" s="15" t="s">
        <v>141</v>
      </c>
      <c r="BE210" s="138">
        <f t="shared" si="24"/>
        <v>0</v>
      </c>
      <c r="BF210" s="138">
        <f t="shared" si="25"/>
        <v>11704</v>
      </c>
      <c r="BG210" s="138">
        <f t="shared" si="26"/>
        <v>0</v>
      </c>
      <c r="BH210" s="138">
        <f t="shared" si="27"/>
        <v>0</v>
      </c>
      <c r="BI210" s="138">
        <f t="shared" si="28"/>
        <v>0</v>
      </c>
      <c r="BJ210" s="15" t="s">
        <v>143</v>
      </c>
      <c r="BK210" s="138">
        <f t="shared" si="29"/>
        <v>11704</v>
      </c>
      <c r="BL210" s="15" t="s">
        <v>206</v>
      </c>
      <c r="BM210" s="137" t="s">
        <v>1897</v>
      </c>
    </row>
    <row r="211" spans="2:65" s="1" customFormat="1" ht="21.75" customHeight="1">
      <c r="B211" s="126"/>
      <c r="C211" s="127" t="s">
        <v>374</v>
      </c>
      <c r="D211" s="127" t="s">
        <v>144</v>
      </c>
      <c r="E211" s="128" t="s">
        <v>1896</v>
      </c>
      <c r="F211" s="129" t="s">
        <v>1895</v>
      </c>
      <c r="G211" s="130" t="s">
        <v>1111</v>
      </c>
      <c r="H211" s="131">
        <v>10</v>
      </c>
      <c r="I211" s="132">
        <v>518</v>
      </c>
      <c r="J211" s="132">
        <f t="shared" si="20"/>
        <v>5180</v>
      </c>
      <c r="K211" s="129" t="s">
        <v>148</v>
      </c>
      <c r="L211" s="27"/>
      <c r="M211" s="133" t="s">
        <v>1</v>
      </c>
      <c r="N211" s="134" t="s">
        <v>39</v>
      </c>
      <c r="O211" s="135">
        <v>0.14499999999999999</v>
      </c>
      <c r="P211" s="135">
        <f t="shared" si="21"/>
        <v>1.45</v>
      </c>
      <c r="Q211" s="135">
        <v>5.6999999999999998E-4</v>
      </c>
      <c r="R211" s="135">
        <f t="shared" si="22"/>
        <v>5.7000000000000002E-3</v>
      </c>
      <c r="S211" s="135">
        <v>0</v>
      </c>
      <c r="T211" s="136">
        <f t="shared" si="23"/>
        <v>0</v>
      </c>
      <c r="AR211" s="137" t="s">
        <v>206</v>
      </c>
      <c r="AT211" s="137" t="s">
        <v>144</v>
      </c>
      <c r="AU211" s="137" t="s">
        <v>143</v>
      </c>
      <c r="AY211" s="15" t="s">
        <v>141</v>
      </c>
      <c r="BE211" s="138">
        <f t="shared" si="24"/>
        <v>0</v>
      </c>
      <c r="BF211" s="138">
        <f t="shared" si="25"/>
        <v>5180</v>
      </c>
      <c r="BG211" s="138">
        <f t="shared" si="26"/>
        <v>0</v>
      </c>
      <c r="BH211" s="138">
        <f t="shared" si="27"/>
        <v>0</v>
      </c>
      <c r="BI211" s="138">
        <f t="shared" si="28"/>
        <v>0</v>
      </c>
      <c r="BJ211" s="15" t="s">
        <v>143</v>
      </c>
      <c r="BK211" s="138">
        <f t="shared" si="29"/>
        <v>5180</v>
      </c>
      <c r="BL211" s="15" t="s">
        <v>206</v>
      </c>
      <c r="BM211" s="137" t="s">
        <v>1894</v>
      </c>
    </row>
    <row r="212" spans="2:65" s="1" customFormat="1" ht="24.2" customHeight="1">
      <c r="B212" s="126"/>
      <c r="C212" s="127" t="s">
        <v>379</v>
      </c>
      <c r="D212" s="127" t="s">
        <v>144</v>
      </c>
      <c r="E212" s="128" t="s">
        <v>1893</v>
      </c>
      <c r="F212" s="129" t="s">
        <v>1892</v>
      </c>
      <c r="G212" s="130" t="s">
        <v>147</v>
      </c>
      <c r="H212" s="131">
        <v>1</v>
      </c>
      <c r="I212" s="132">
        <v>260</v>
      </c>
      <c r="J212" s="132">
        <f t="shared" si="20"/>
        <v>260</v>
      </c>
      <c r="K212" s="129" t="s">
        <v>148</v>
      </c>
      <c r="L212" s="27"/>
      <c r="M212" s="133" t="s">
        <v>1</v>
      </c>
      <c r="N212" s="134" t="s">
        <v>39</v>
      </c>
      <c r="O212" s="135">
        <v>8.3000000000000004E-2</v>
      </c>
      <c r="P212" s="135">
        <f t="shared" si="21"/>
        <v>8.3000000000000004E-2</v>
      </c>
      <c r="Q212" s="135">
        <v>2.2000000000000001E-4</v>
      </c>
      <c r="R212" s="135">
        <f t="shared" si="22"/>
        <v>2.2000000000000001E-4</v>
      </c>
      <c r="S212" s="135">
        <v>0</v>
      </c>
      <c r="T212" s="136">
        <f t="shared" si="23"/>
        <v>0</v>
      </c>
      <c r="AR212" s="137" t="s">
        <v>206</v>
      </c>
      <c r="AT212" s="137" t="s">
        <v>144</v>
      </c>
      <c r="AU212" s="137" t="s">
        <v>143</v>
      </c>
      <c r="AY212" s="15" t="s">
        <v>141</v>
      </c>
      <c r="BE212" s="138">
        <f t="shared" si="24"/>
        <v>0</v>
      </c>
      <c r="BF212" s="138">
        <f t="shared" si="25"/>
        <v>260</v>
      </c>
      <c r="BG212" s="138">
        <f t="shared" si="26"/>
        <v>0</v>
      </c>
      <c r="BH212" s="138">
        <f t="shared" si="27"/>
        <v>0</v>
      </c>
      <c r="BI212" s="138">
        <f t="shared" si="28"/>
        <v>0</v>
      </c>
      <c r="BJ212" s="15" t="s">
        <v>143</v>
      </c>
      <c r="BK212" s="138">
        <f t="shared" si="29"/>
        <v>260</v>
      </c>
      <c r="BL212" s="15" t="s">
        <v>206</v>
      </c>
      <c r="BM212" s="137" t="s">
        <v>1891</v>
      </c>
    </row>
    <row r="213" spans="2:65" s="1" customFormat="1" ht="24.2" customHeight="1">
      <c r="B213" s="126"/>
      <c r="C213" s="127" t="s">
        <v>383</v>
      </c>
      <c r="D213" s="127" t="s">
        <v>144</v>
      </c>
      <c r="E213" s="128" t="s">
        <v>1890</v>
      </c>
      <c r="F213" s="129" t="s">
        <v>1889</v>
      </c>
      <c r="G213" s="130" t="s">
        <v>147</v>
      </c>
      <c r="H213" s="131">
        <v>1</v>
      </c>
      <c r="I213" s="132">
        <v>360</v>
      </c>
      <c r="J213" s="132">
        <f t="shared" si="20"/>
        <v>360</v>
      </c>
      <c r="K213" s="129" t="s">
        <v>148</v>
      </c>
      <c r="L213" s="27"/>
      <c r="M213" s="133" t="s">
        <v>1</v>
      </c>
      <c r="N213" s="134" t="s">
        <v>39</v>
      </c>
      <c r="O213" s="135">
        <v>0.20699999999999999</v>
      </c>
      <c r="P213" s="135">
        <f t="shared" si="21"/>
        <v>0.20699999999999999</v>
      </c>
      <c r="Q213" s="135">
        <v>1.7000000000000001E-4</v>
      </c>
      <c r="R213" s="135">
        <f t="shared" si="22"/>
        <v>1.7000000000000001E-4</v>
      </c>
      <c r="S213" s="135">
        <v>0</v>
      </c>
      <c r="T213" s="136">
        <f t="shared" si="23"/>
        <v>0</v>
      </c>
      <c r="AR213" s="137" t="s">
        <v>206</v>
      </c>
      <c r="AT213" s="137" t="s">
        <v>144</v>
      </c>
      <c r="AU213" s="137" t="s">
        <v>143</v>
      </c>
      <c r="AY213" s="15" t="s">
        <v>141</v>
      </c>
      <c r="BE213" s="138">
        <f t="shared" si="24"/>
        <v>0</v>
      </c>
      <c r="BF213" s="138">
        <f t="shared" si="25"/>
        <v>360</v>
      </c>
      <c r="BG213" s="138">
        <f t="shared" si="26"/>
        <v>0</v>
      </c>
      <c r="BH213" s="138">
        <f t="shared" si="27"/>
        <v>0</v>
      </c>
      <c r="BI213" s="138">
        <f t="shared" si="28"/>
        <v>0</v>
      </c>
      <c r="BJ213" s="15" t="s">
        <v>143</v>
      </c>
      <c r="BK213" s="138">
        <f t="shared" si="29"/>
        <v>360</v>
      </c>
      <c r="BL213" s="15" t="s">
        <v>206</v>
      </c>
      <c r="BM213" s="137" t="s">
        <v>1888</v>
      </c>
    </row>
    <row r="214" spans="2:65" s="1" customFormat="1" ht="24.2" customHeight="1">
      <c r="B214" s="126"/>
      <c r="C214" s="127" t="s">
        <v>388</v>
      </c>
      <c r="D214" s="127" t="s">
        <v>144</v>
      </c>
      <c r="E214" s="128" t="s">
        <v>1887</v>
      </c>
      <c r="F214" s="129" t="s">
        <v>1886</v>
      </c>
      <c r="G214" s="130" t="s">
        <v>147</v>
      </c>
      <c r="H214" s="131">
        <v>1</v>
      </c>
      <c r="I214" s="132">
        <v>636</v>
      </c>
      <c r="J214" s="132">
        <f t="shared" si="20"/>
        <v>636</v>
      </c>
      <c r="K214" s="129" t="s">
        <v>148</v>
      </c>
      <c r="L214" s="27"/>
      <c r="M214" s="133" t="s">
        <v>1</v>
      </c>
      <c r="N214" s="134" t="s">
        <v>39</v>
      </c>
      <c r="O214" s="135">
        <v>0.26900000000000002</v>
      </c>
      <c r="P214" s="135">
        <f t="shared" si="21"/>
        <v>0.26900000000000002</v>
      </c>
      <c r="Q214" s="135">
        <v>8.1999999999999998E-4</v>
      </c>
      <c r="R214" s="135">
        <f t="shared" si="22"/>
        <v>8.1999999999999998E-4</v>
      </c>
      <c r="S214" s="135">
        <v>0</v>
      </c>
      <c r="T214" s="136">
        <f t="shared" si="23"/>
        <v>0</v>
      </c>
      <c r="AR214" s="137" t="s">
        <v>206</v>
      </c>
      <c r="AT214" s="137" t="s">
        <v>144</v>
      </c>
      <c r="AU214" s="137" t="s">
        <v>143</v>
      </c>
      <c r="AY214" s="15" t="s">
        <v>141</v>
      </c>
      <c r="BE214" s="138">
        <f t="shared" si="24"/>
        <v>0</v>
      </c>
      <c r="BF214" s="138">
        <f t="shared" si="25"/>
        <v>636</v>
      </c>
      <c r="BG214" s="138">
        <f t="shared" si="26"/>
        <v>0</v>
      </c>
      <c r="BH214" s="138">
        <f t="shared" si="27"/>
        <v>0</v>
      </c>
      <c r="BI214" s="138">
        <f t="shared" si="28"/>
        <v>0</v>
      </c>
      <c r="BJ214" s="15" t="s">
        <v>143</v>
      </c>
      <c r="BK214" s="138">
        <f t="shared" si="29"/>
        <v>636</v>
      </c>
      <c r="BL214" s="15" t="s">
        <v>206</v>
      </c>
      <c r="BM214" s="137" t="s">
        <v>1885</v>
      </c>
    </row>
    <row r="215" spans="2:65" s="1" customFormat="1" ht="24.2" customHeight="1">
      <c r="B215" s="126"/>
      <c r="C215" s="127" t="s">
        <v>392</v>
      </c>
      <c r="D215" s="127" t="s">
        <v>144</v>
      </c>
      <c r="E215" s="128" t="s">
        <v>1884</v>
      </c>
      <c r="F215" s="129" t="s">
        <v>1883</v>
      </c>
      <c r="G215" s="130" t="s">
        <v>147</v>
      </c>
      <c r="H215" s="131">
        <v>1</v>
      </c>
      <c r="I215" s="132">
        <v>1250</v>
      </c>
      <c r="J215" s="132">
        <f t="shared" si="20"/>
        <v>1250</v>
      </c>
      <c r="K215" s="129" t="s">
        <v>148</v>
      </c>
      <c r="L215" s="27"/>
      <c r="M215" s="133" t="s">
        <v>1</v>
      </c>
      <c r="N215" s="134" t="s">
        <v>39</v>
      </c>
      <c r="O215" s="135">
        <v>0.2</v>
      </c>
      <c r="P215" s="135">
        <f t="shared" si="21"/>
        <v>0.2</v>
      </c>
      <c r="Q215" s="135">
        <v>1.2E-4</v>
      </c>
      <c r="R215" s="135">
        <f t="shared" si="22"/>
        <v>1.2E-4</v>
      </c>
      <c r="S215" s="135">
        <v>0</v>
      </c>
      <c r="T215" s="136">
        <f t="shared" si="23"/>
        <v>0</v>
      </c>
      <c r="AR215" s="137" t="s">
        <v>206</v>
      </c>
      <c r="AT215" s="137" t="s">
        <v>144</v>
      </c>
      <c r="AU215" s="137" t="s">
        <v>143</v>
      </c>
      <c r="AY215" s="15" t="s">
        <v>141</v>
      </c>
      <c r="BE215" s="138">
        <f t="shared" si="24"/>
        <v>0</v>
      </c>
      <c r="BF215" s="138">
        <f t="shared" si="25"/>
        <v>1250</v>
      </c>
      <c r="BG215" s="138">
        <f t="shared" si="26"/>
        <v>0</v>
      </c>
      <c r="BH215" s="138">
        <f t="shared" si="27"/>
        <v>0</v>
      </c>
      <c r="BI215" s="138">
        <f t="shared" si="28"/>
        <v>0</v>
      </c>
      <c r="BJ215" s="15" t="s">
        <v>143</v>
      </c>
      <c r="BK215" s="138">
        <f t="shared" si="29"/>
        <v>1250</v>
      </c>
      <c r="BL215" s="15" t="s">
        <v>206</v>
      </c>
      <c r="BM215" s="137" t="s">
        <v>1882</v>
      </c>
    </row>
    <row r="216" spans="2:65" s="1" customFormat="1" ht="33" customHeight="1">
      <c r="B216" s="126"/>
      <c r="C216" s="127" t="s">
        <v>397</v>
      </c>
      <c r="D216" s="127" t="s">
        <v>144</v>
      </c>
      <c r="E216" s="128" t="s">
        <v>1881</v>
      </c>
      <c r="F216" s="129" t="s">
        <v>1880</v>
      </c>
      <c r="G216" s="130" t="s">
        <v>147</v>
      </c>
      <c r="H216" s="131">
        <v>6</v>
      </c>
      <c r="I216" s="132">
        <v>385</v>
      </c>
      <c r="J216" s="132">
        <f t="shared" si="20"/>
        <v>2310</v>
      </c>
      <c r="K216" s="129" t="s">
        <v>148</v>
      </c>
      <c r="L216" s="27"/>
      <c r="M216" s="133" t="s">
        <v>1</v>
      </c>
      <c r="N216" s="134" t="s">
        <v>39</v>
      </c>
      <c r="O216" s="135">
        <v>0.16</v>
      </c>
      <c r="P216" s="135">
        <f t="shared" si="21"/>
        <v>0.96</v>
      </c>
      <c r="Q216" s="135">
        <v>2.7E-4</v>
      </c>
      <c r="R216" s="135">
        <f t="shared" si="22"/>
        <v>1.6199999999999999E-3</v>
      </c>
      <c r="S216" s="135">
        <v>0</v>
      </c>
      <c r="T216" s="136">
        <f t="shared" si="23"/>
        <v>0</v>
      </c>
      <c r="AR216" s="137" t="s">
        <v>206</v>
      </c>
      <c r="AT216" s="137" t="s">
        <v>144</v>
      </c>
      <c r="AU216" s="137" t="s">
        <v>143</v>
      </c>
      <c r="AY216" s="15" t="s">
        <v>141</v>
      </c>
      <c r="BE216" s="138">
        <f t="shared" si="24"/>
        <v>0</v>
      </c>
      <c r="BF216" s="138">
        <f t="shared" si="25"/>
        <v>2310</v>
      </c>
      <c r="BG216" s="138">
        <f t="shared" si="26"/>
        <v>0</v>
      </c>
      <c r="BH216" s="138">
        <f t="shared" si="27"/>
        <v>0</v>
      </c>
      <c r="BI216" s="138">
        <f t="shared" si="28"/>
        <v>0</v>
      </c>
      <c r="BJ216" s="15" t="s">
        <v>143</v>
      </c>
      <c r="BK216" s="138">
        <f t="shared" si="29"/>
        <v>2310</v>
      </c>
      <c r="BL216" s="15" t="s">
        <v>206</v>
      </c>
      <c r="BM216" s="137" t="s">
        <v>1879</v>
      </c>
    </row>
    <row r="217" spans="2:65" s="1" customFormat="1" ht="33" customHeight="1">
      <c r="B217" s="126"/>
      <c r="C217" s="127" t="s">
        <v>401</v>
      </c>
      <c r="D217" s="127" t="s">
        <v>144</v>
      </c>
      <c r="E217" s="128" t="s">
        <v>1878</v>
      </c>
      <c r="F217" s="129" t="s">
        <v>1877</v>
      </c>
      <c r="G217" s="130" t="s">
        <v>147</v>
      </c>
      <c r="H217" s="131">
        <v>6</v>
      </c>
      <c r="I217" s="132">
        <v>499</v>
      </c>
      <c r="J217" s="132">
        <f t="shared" si="20"/>
        <v>2994</v>
      </c>
      <c r="K217" s="129" t="s">
        <v>148</v>
      </c>
      <c r="L217" s="27"/>
      <c r="M217" s="133" t="s">
        <v>1</v>
      </c>
      <c r="N217" s="134" t="s">
        <v>39</v>
      </c>
      <c r="O217" s="135">
        <v>0.2</v>
      </c>
      <c r="P217" s="135">
        <f t="shared" si="21"/>
        <v>1.2000000000000002</v>
      </c>
      <c r="Q217" s="135">
        <v>4.0000000000000002E-4</v>
      </c>
      <c r="R217" s="135">
        <f t="shared" si="22"/>
        <v>2.4000000000000002E-3</v>
      </c>
      <c r="S217" s="135">
        <v>0</v>
      </c>
      <c r="T217" s="136">
        <f t="shared" si="23"/>
        <v>0</v>
      </c>
      <c r="AR217" s="137" t="s">
        <v>206</v>
      </c>
      <c r="AT217" s="137" t="s">
        <v>144</v>
      </c>
      <c r="AU217" s="137" t="s">
        <v>143</v>
      </c>
      <c r="AY217" s="15" t="s">
        <v>141</v>
      </c>
      <c r="BE217" s="138">
        <f t="shared" si="24"/>
        <v>0</v>
      </c>
      <c r="BF217" s="138">
        <f t="shared" si="25"/>
        <v>2994</v>
      </c>
      <c r="BG217" s="138">
        <f t="shared" si="26"/>
        <v>0</v>
      </c>
      <c r="BH217" s="138">
        <f t="shared" si="27"/>
        <v>0</v>
      </c>
      <c r="BI217" s="138">
        <f t="shared" si="28"/>
        <v>0</v>
      </c>
      <c r="BJ217" s="15" t="s">
        <v>143</v>
      </c>
      <c r="BK217" s="138">
        <f t="shared" si="29"/>
        <v>2994</v>
      </c>
      <c r="BL217" s="15" t="s">
        <v>206</v>
      </c>
      <c r="BM217" s="137" t="s">
        <v>1876</v>
      </c>
    </row>
    <row r="218" spans="2:65" s="1" customFormat="1" ht="24.2" customHeight="1">
      <c r="B218" s="126"/>
      <c r="C218" s="127" t="s">
        <v>405</v>
      </c>
      <c r="D218" s="127" t="s">
        <v>144</v>
      </c>
      <c r="E218" s="128" t="s">
        <v>1875</v>
      </c>
      <c r="F218" s="129" t="s">
        <v>1874</v>
      </c>
      <c r="G218" s="130" t="s">
        <v>147</v>
      </c>
      <c r="H218" s="131">
        <v>2</v>
      </c>
      <c r="I218" s="132">
        <v>411</v>
      </c>
      <c r="J218" s="132">
        <f t="shared" si="20"/>
        <v>822</v>
      </c>
      <c r="K218" s="129" t="s">
        <v>148</v>
      </c>
      <c r="L218" s="27"/>
      <c r="M218" s="133" t="s">
        <v>1</v>
      </c>
      <c r="N218" s="134" t="s">
        <v>39</v>
      </c>
      <c r="O218" s="135">
        <v>0.2</v>
      </c>
      <c r="P218" s="135">
        <f t="shared" si="21"/>
        <v>0.4</v>
      </c>
      <c r="Q218" s="135">
        <v>3.5E-4</v>
      </c>
      <c r="R218" s="135">
        <f t="shared" si="22"/>
        <v>6.9999999999999999E-4</v>
      </c>
      <c r="S218" s="135">
        <v>0</v>
      </c>
      <c r="T218" s="136">
        <f t="shared" si="23"/>
        <v>0</v>
      </c>
      <c r="AR218" s="137" t="s">
        <v>206</v>
      </c>
      <c r="AT218" s="137" t="s">
        <v>144</v>
      </c>
      <c r="AU218" s="137" t="s">
        <v>143</v>
      </c>
      <c r="AY218" s="15" t="s">
        <v>141</v>
      </c>
      <c r="BE218" s="138">
        <f t="shared" si="24"/>
        <v>0</v>
      </c>
      <c r="BF218" s="138">
        <f t="shared" si="25"/>
        <v>822</v>
      </c>
      <c r="BG218" s="138">
        <f t="shared" si="26"/>
        <v>0</v>
      </c>
      <c r="BH218" s="138">
        <f t="shared" si="27"/>
        <v>0</v>
      </c>
      <c r="BI218" s="138">
        <f t="shared" si="28"/>
        <v>0</v>
      </c>
      <c r="BJ218" s="15" t="s">
        <v>143</v>
      </c>
      <c r="BK218" s="138">
        <f t="shared" si="29"/>
        <v>822</v>
      </c>
      <c r="BL218" s="15" t="s">
        <v>206</v>
      </c>
      <c r="BM218" s="137" t="s">
        <v>1873</v>
      </c>
    </row>
    <row r="219" spans="2:65" s="1" customFormat="1" ht="24.2" customHeight="1">
      <c r="B219" s="126"/>
      <c r="C219" s="127" t="s">
        <v>409</v>
      </c>
      <c r="D219" s="127" t="s">
        <v>144</v>
      </c>
      <c r="E219" s="128" t="s">
        <v>1872</v>
      </c>
      <c r="F219" s="129" t="s">
        <v>1871</v>
      </c>
      <c r="G219" s="130" t="s">
        <v>147</v>
      </c>
      <c r="H219" s="131">
        <v>3</v>
      </c>
      <c r="I219" s="132">
        <v>819</v>
      </c>
      <c r="J219" s="132">
        <f t="shared" si="20"/>
        <v>2457</v>
      </c>
      <c r="K219" s="129" t="s">
        <v>148</v>
      </c>
      <c r="L219" s="27"/>
      <c r="M219" s="133" t="s">
        <v>1</v>
      </c>
      <c r="N219" s="134" t="s">
        <v>39</v>
      </c>
      <c r="O219" s="135">
        <v>0.26</v>
      </c>
      <c r="P219" s="135">
        <f t="shared" si="21"/>
        <v>0.78</v>
      </c>
      <c r="Q219" s="135">
        <v>7.6000000000000004E-4</v>
      </c>
      <c r="R219" s="135">
        <f t="shared" si="22"/>
        <v>2.2799999999999999E-3</v>
      </c>
      <c r="S219" s="135">
        <v>0</v>
      </c>
      <c r="T219" s="136">
        <f t="shared" si="23"/>
        <v>0</v>
      </c>
      <c r="AR219" s="137" t="s">
        <v>206</v>
      </c>
      <c r="AT219" s="137" t="s">
        <v>144</v>
      </c>
      <c r="AU219" s="137" t="s">
        <v>143</v>
      </c>
      <c r="AY219" s="15" t="s">
        <v>141</v>
      </c>
      <c r="BE219" s="138">
        <f t="shared" si="24"/>
        <v>0</v>
      </c>
      <c r="BF219" s="138">
        <f t="shared" si="25"/>
        <v>2457</v>
      </c>
      <c r="BG219" s="138">
        <f t="shared" si="26"/>
        <v>0</v>
      </c>
      <c r="BH219" s="138">
        <f t="shared" si="27"/>
        <v>0</v>
      </c>
      <c r="BI219" s="138">
        <f t="shared" si="28"/>
        <v>0</v>
      </c>
      <c r="BJ219" s="15" t="s">
        <v>143</v>
      </c>
      <c r="BK219" s="138">
        <f t="shared" si="29"/>
        <v>2457</v>
      </c>
      <c r="BL219" s="15" t="s">
        <v>206</v>
      </c>
      <c r="BM219" s="137" t="s">
        <v>1870</v>
      </c>
    </row>
    <row r="220" spans="2:65" s="1" customFormat="1" ht="24.2" customHeight="1">
      <c r="B220" s="126"/>
      <c r="C220" s="127" t="s">
        <v>413</v>
      </c>
      <c r="D220" s="127" t="s">
        <v>144</v>
      </c>
      <c r="E220" s="128" t="s">
        <v>1869</v>
      </c>
      <c r="F220" s="129" t="s">
        <v>1868</v>
      </c>
      <c r="G220" s="130" t="s">
        <v>147</v>
      </c>
      <c r="H220" s="131">
        <v>1</v>
      </c>
      <c r="I220" s="132">
        <v>266</v>
      </c>
      <c r="J220" s="132">
        <f t="shared" si="20"/>
        <v>266</v>
      </c>
      <c r="K220" s="129" t="s">
        <v>148</v>
      </c>
      <c r="L220" s="27"/>
      <c r="M220" s="133" t="s">
        <v>1</v>
      </c>
      <c r="N220" s="134" t="s">
        <v>39</v>
      </c>
      <c r="O220" s="135">
        <v>0.2</v>
      </c>
      <c r="P220" s="135">
        <f t="shared" si="21"/>
        <v>0.2</v>
      </c>
      <c r="Q220" s="135">
        <v>2.2000000000000001E-4</v>
      </c>
      <c r="R220" s="135">
        <f t="shared" si="22"/>
        <v>2.2000000000000001E-4</v>
      </c>
      <c r="S220" s="135">
        <v>0</v>
      </c>
      <c r="T220" s="136">
        <f t="shared" si="23"/>
        <v>0</v>
      </c>
      <c r="AR220" s="137" t="s">
        <v>206</v>
      </c>
      <c r="AT220" s="137" t="s">
        <v>144</v>
      </c>
      <c r="AU220" s="137" t="s">
        <v>143</v>
      </c>
      <c r="AY220" s="15" t="s">
        <v>141</v>
      </c>
      <c r="BE220" s="138">
        <f t="shared" si="24"/>
        <v>0</v>
      </c>
      <c r="BF220" s="138">
        <f t="shared" si="25"/>
        <v>266</v>
      </c>
      <c r="BG220" s="138">
        <f t="shared" si="26"/>
        <v>0</v>
      </c>
      <c r="BH220" s="138">
        <f t="shared" si="27"/>
        <v>0</v>
      </c>
      <c r="BI220" s="138">
        <f t="shared" si="28"/>
        <v>0</v>
      </c>
      <c r="BJ220" s="15" t="s">
        <v>143</v>
      </c>
      <c r="BK220" s="138">
        <f t="shared" si="29"/>
        <v>266</v>
      </c>
      <c r="BL220" s="15" t="s">
        <v>206</v>
      </c>
      <c r="BM220" s="137" t="s">
        <v>1867</v>
      </c>
    </row>
    <row r="221" spans="2:65" s="1" customFormat="1" ht="24.2" customHeight="1">
      <c r="B221" s="126"/>
      <c r="C221" s="127" t="s">
        <v>417</v>
      </c>
      <c r="D221" s="127" t="s">
        <v>144</v>
      </c>
      <c r="E221" s="128" t="s">
        <v>1866</v>
      </c>
      <c r="F221" s="129" t="s">
        <v>1865</v>
      </c>
      <c r="G221" s="130" t="s">
        <v>147</v>
      </c>
      <c r="H221" s="131">
        <v>1</v>
      </c>
      <c r="I221" s="132">
        <v>2140</v>
      </c>
      <c r="J221" s="132">
        <f t="shared" si="20"/>
        <v>2140</v>
      </c>
      <c r="K221" s="129" t="s">
        <v>148</v>
      </c>
      <c r="L221" s="27"/>
      <c r="M221" s="133" t="s">
        <v>1</v>
      </c>
      <c r="N221" s="134" t="s">
        <v>39</v>
      </c>
      <c r="O221" s="135">
        <v>0.39300000000000002</v>
      </c>
      <c r="P221" s="135">
        <f t="shared" si="21"/>
        <v>0.39300000000000002</v>
      </c>
      <c r="Q221" s="135">
        <v>3.2699999999999999E-3</v>
      </c>
      <c r="R221" s="135">
        <f t="shared" si="22"/>
        <v>3.2699999999999999E-3</v>
      </c>
      <c r="S221" s="135">
        <v>0</v>
      </c>
      <c r="T221" s="136">
        <f t="shared" si="23"/>
        <v>0</v>
      </c>
      <c r="AR221" s="137" t="s">
        <v>206</v>
      </c>
      <c r="AT221" s="137" t="s">
        <v>144</v>
      </c>
      <c r="AU221" s="137" t="s">
        <v>143</v>
      </c>
      <c r="AY221" s="15" t="s">
        <v>141</v>
      </c>
      <c r="BE221" s="138">
        <f t="shared" si="24"/>
        <v>0</v>
      </c>
      <c r="BF221" s="138">
        <f t="shared" si="25"/>
        <v>2140</v>
      </c>
      <c r="BG221" s="138">
        <f t="shared" si="26"/>
        <v>0</v>
      </c>
      <c r="BH221" s="138">
        <f t="shared" si="27"/>
        <v>0</v>
      </c>
      <c r="BI221" s="138">
        <f t="shared" si="28"/>
        <v>0</v>
      </c>
      <c r="BJ221" s="15" t="s">
        <v>143</v>
      </c>
      <c r="BK221" s="138">
        <f t="shared" si="29"/>
        <v>2140</v>
      </c>
      <c r="BL221" s="15" t="s">
        <v>206</v>
      </c>
      <c r="BM221" s="137" t="s">
        <v>1864</v>
      </c>
    </row>
    <row r="222" spans="2:65" s="1" customFormat="1" ht="37.9" customHeight="1">
      <c r="B222" s="126"/>
      <c r="C222" s="127" t="s">
        <v>421</v>
      </c>
      <c r="D222" s="127" t="s">
        <v>144</v>
      </c>
      <c r="E222" s="128" t="s">
        <v>1863</v>
      </c>
      <c r="F222" s="129" t="s">
        <v>1862</v>
      </c>
      <c r="G222" s="130" t="s">
        <v>193</v>
      </c>
      <c r="H222" s="131">
        <v>470</v>
      </c>
      <c r="I222" s="132">
        <v>60.3</v>
      </c>
      <c r="J222" s="132">
        <f t="shared" si="20"/>
        <v>28341</v>
      </c>
      <c r="K222" s="129" t="s">
        <v>148</v>
      </c>
      <c r="L222" s="27"/>
      <c r="M222" s="133" t="s">
        <v>1</v>
      </c>
      <c r="N222" s="134" t="s">
        <v>39</v>
      </c>
      <c r="O222" s="135">
        <v>6.7000000000000004E-2</v>
      </c>
      <c r="P222" s="135">
        <f t="shared" si="21"/>
        <v>31.490000000000002</v>
      </c>
      <c r="Q222" s="135">
        <v>1.9000000000000001E-4</v>
      </c>
      <c r="R222" s="135">
        <f t="shared" si="22"/>
        <v>8.9300000000000004E-2</v>
      </c>
      <c r="S222" s="135">
        <v>0</v>
      </c>
      <c r="T222" s="136">
        <f t="shared" si="23"/>
        <v>0</v>
      </c>
      <c r="AR222" s="137" t="s">
        <v>206</v>
      </c>
      <c r="AT222" s="137" t="s">
        <v>144</v>
      </c>
      <c r="AU222" s="137" t="s">
        <v>143</v>
      </c>
      <c r="AY222" s="15" t="s">
        <v>141</v>
      </c>
      <c r="BE222" s="138">
        <f t="shared" si="24"/>
        <v>0</v>
      </c>
      <c r="BF222" s="138">
        <f t="shared" si="25"/>
        <v>28341</v>
      </c>
      <c r="BG222" s="138">
        <f t="shared" si="26"/>
        <v>0</v>
      </c>
      <c r="BH222" s="138">
        <f t="shared" si="27"/>
        <v>0</v>
      </c>
      <c r="BI222" s="138">
        <f t="shared" si="28"/>
        <v>0</v>
      </c>
      <c r="BJ222" s="15" t="s">
        <v>143</v>
      </c>
      <c r="BK222" s="138">
        <f t="shared" si="29"/>
        <v>28341</v>
      </c>
      <c r="BL222" s="15" t="s">
        <v>206</v>
      </c>
      <c r="BM222" s="137" t="s">
        <v>1861</v>
      </c>
    </row>
    <row r="223" spans="2:65" s="1" customFormat="1" ht="33" customHeight="1">
      <c r="B223" s="126"/>
      <c r="C223" s="127" t="s">
        <v>426</v>
      </c>
      <c r="D223" s="127" t="s">
        <v>144</v>
      </c>
      <c r="E223" s="128" t="s">
        <v>1860</v>
      </c>
      <c r="F223" s="129" t="s">
        <v>1859</v>
      </c>
      <c r="G223" s="130" t="s">
        <v>193</v>
      </c>
      <c r="H223" s="131">
        <v>470</v>
      </c>
      <c r="I223" s="132">
        <v>48.4</v>
      </c>
      <c r="J223" s="132">
        <f t="shared" si="20"/>
        <v>22748</v>
      </c>
      <c r="K223" s="129" t="s">
        <v>148</v>
      </c>
      <c r="L223" s="27"/>
      <c r="M223" s="133" t="s">
        <v>1</v>
      </c>
      <c r="N223" s="134" t="s">
        <v>39</v>
      </c>
      <c r="O223" s="135">
        <v>8.2000000000000003E-2</v>
      </c>
      <c r="P223" s="135">
        <f t="shared" si="21"/>
        <v>38.54</v>
      </c>
      <c r="Q223" s="135">
        <v>1.0000000000000001E-5</v>
      </c>
      <c r="R223" s="135">
        <f t="shared" si="22"/>
        <v>4.7000000000000002E-3</v>
      </c>
      <c r="S223" s="135">
        <v>0</v>
      </c>
      <c r="T223" s="136">
        <f t="shared" si="23"/>
        <v>0</v>
      </c>
      <c r="AR223" s="137" t="s">
        <v>206</v>
      </c>
      <c r="AT223" s="137" t="s">
        <v>144</v>
      </c>
      <c r="AU223" s="137" t="s">
        <v>143</v>
      </c>
      <c r="AY223" s="15" t="s">
        <v>141</v>
      </c>
      <c r="BE223" s="138">
        <f t="shared" si="24"/>
        <v>0</v>
      </c>
      <c r="BF223" s="138">
        <f t="shared" si="25"/>
        <v>22748</v>
      </c>
      <c r="BG223" s="138">
        <f t="shared" si="26"/>
        <v>0</v>
      </c>
      <c r="BH223" s="138">
        <f t="shared" si="27"/>
        <v>0</v>
      </c>
      <c r="BI223" s="138">
        <f t="shared" si="28"/>
        <v>0</v>
      </c>
      <c r="BJ223" s="15" t="s">
        <v>143</v>
      </c>
      <c r="BK223" s="138">
        <f t="shared" si="29"/>
        <v>22748</v>
      </c>
      <c r="BL223" s="15" t="s">
        <v>206</v>
      </c>
      <c r="BM223" s="137" t="s">
        <v>1858</v>
      </c>
    </row>
    <row r="224" spans="2:65" s="1" customFormat="1" ht="44.25" customHeight="1">
      <c r="B224" s="126"/>
      <c r="C224" s="127" t="s">
        <v>431</v>
      </c>
      <c r="D224" s="127" t="s">
        <v>144</v>
      </c>
      <c r="E224" s="128" t="s">
        <v>1857</v>
      </c>
      <c r="F224" s="129" t="s">
        <v>1856</v>
      </c>
      <c r="G224" s="130" t="s">
        <v>179</v>
      </c>
      <c r="H224" s="131">
        <v>0.89800000000000002</v>
      </c>
      <c r="I224" s="132">
        <v>656</v>
      </c>
      <c r="J224" s="132">
        <f t="shared" si="20"/>
        <v>589.09</v>
      </c>
      <c r="K224" s="129" t="s">
        <v>148</v>
      </c>
      <c r="L224" s="27"/>
      <c r="M224" s="133" t="s">
        <v>1</v>
      </c>
      <c r="N224" s="134" t="s">
        <v>39</v>
      </c>
      <c r="O224" s="135">
        <v>1.327</v>
      </c>
      <c r="P224" s="135">
        <f t="shared" si="21"/>
        <v>1.191646</v>
      </c>
      <c r="Q224" s="135">
        <v>0</v>
      </c>
      <c r="R224" s="135">
        <f t="shared" si="22"/>
        <v>0</v>
      </c>
      <c r="S224" s="135">
        <v>0</v>
      </c>
      <c r="T224" s="136">
        <f t="shared" si="23"/>
        <v>0</v>
      </c>
      <c r="AR224" s="137" t="s">
        <v>206</v>
      </c>
      <c r="AT224" s="137" t="s">
        <v>144</v>
      </c>
      <c r="AU224" s="137" t="s">
        <v>143</v>
      </c>
      <c r="AY224" s="15" t="s">
        <v>141</v>
      </c>
      <c r="BE224" s="138">
        <f t="shared" si="24"/>
        <v>0</v>
      </c>
      <c r="BF224" s="138">
        <f t="shared" si="25"/>
        <v>589.09</v>
      </c>
      <c r="BG224" s="138">
        <f t="shared" si="26"/>
        <v>0</v>
      </c>
      <c r="BH224" s="138">
        <f t="shared" si="27"/>
        <v>0</v>
      </c>
      <c r="BI224" s="138">
        <f t="shared" si="28"/>
        <v>0</v>
      </c>
      <c r="BJ224" s="15" t="s">
        <v>143</v>
      </c>
      <c r="BK224" s="138">
        <f t="shared" si="29"/>
        <v>589.09</v>
      </c>
      <c r="BL224" s="15" t="s">
        <v>206</v>
      </c>
      <c r="BM224" s="137" t="s">
        <v>1855</v>
      </c>
    </row>
    <row r="225" spans="2:65" s="11" customFormat="1" ht="22.9" customHeight="1">
      <c r="B225" s="115"/>
      <c r="D225" s="116" t="s">
        <v>72</v>
      </c>
      <c r="E225" s="124" t="s">
        <v>1854</v>
      </c>
      <c r="F225" s="124" t="s">
        <v>1853</v>
      </c>
      <c r="J225" s="125">
        <f>BK225</f>
        <v>321126.39</v>
      </c>
      <c r="L225" s="115"/>
      <c r="M225" s="119"/>
      <c r="P225" s="120">
        <f>SUM(P226:P246)</f>
        <v>67.885341999999994</v>
      </c>
      <c r="R225" s="120">
        <f>SUM(R226:R246)</f>
        <v>0.72565999999999986</v>
      </c>
      <c r="T225" s="121">
        <f>SUM(T226:T246)</f>
        <v>0</v>
      </c>
      <c r="AR225" s="116" t="s">
        <v>143</v>
      </c>
      <c r="AT225" s="122" t="s">
        <v>72</v>
      </c>
      <c r="AU225" s="122" t="s">
        <v>81</v>
      </c>
      <c r="AY225" s="116" t="s">
        <v>141</v>
      </c>
      <c r="BK225" s="123">
        <f>SUM(BK226:BK246)</f>
        <v>321126.39</v>
      </c>
    </row>
    <row r="226" spans="2:65" s="1" customFormat="1" ht="33" customHeight="1">
      <c r="B226" s="126"/>
      <c r="C226" s="127" t="s">
        <v>435</v>
      </c>
      <c r="D226" s="127" t="s">
        <v>144</v>
      </c>
      <c r="E226" s="128" t="s">
        <v>1852</v>
      </c>
      <c r="F226" s="129" t="s">
        <v>1851</v>
      </c>
      <c r="G226" s="130" t="s">
        <v>1111</v>
      </c>
      <c r="H226" s="131">
        <v>5</v>
      </c>
      <c r="I226" s="132">
        <v>5060</v>
      </c>
      <c r="J226" s="132">
        <f t="shared" ref="J226:J246" si="30">ROUND(I226*H226,2)</f>
        <v>25300</v>
      </c>
      <c r="K226" s="129" t="s">
        <v>148</v>
      </c>
      <c r="L226" s="27"/>
      <c r="M226" s="133" t="s">
        <v>1</v>
      </c>
      <c r="N226" s="134" t="s">
        <v>39</v>
      </c>
      <c r="O226" s="135">
        <v>1.1000000000000001</v>
      </c>
      <c r="P226" s="135">
        <f t="shared" ref="P226:P246" si="31">O226*H226</f>
        <v>5.5</v>
      </c>
      <c r="Q226" s="135">
        <v>1.6969999999999999E-2</v>
      </c>
      <c r="R226" s="135">
        <f t="shared" ref="R226:R246" si="32">Q226*H226</f>
        <v>8.4849999999999995E-2</v>
      </c>
      <c r="S226" s="135">
        <v>0</v>
      </c>
      <c r="T226" s="136">
        <f t="shared" ref="T226:T246" si="33">S226*H226</f>
        <v>0</v>
      </c>
      <c r="AR226" s="137" t="s">
        <v>206</v>
      </c>
      <c r="AT226" s="137" t="s">
        <v>144</v>
      </c>
      <c r="AU226" s="137" t="s">
        <v>143</v>
      </c>
      <c r="AY226" s="15" t="s">
        <v>141</v>
      </c>
      <c r="BE226" s="138">
        <f t="shared" ref="BE226:BE246" si="34">IF(N226="základní",J226,0)</f>
        <v>0</v>
      </c>
      <c r="BF226" s="138">
        <f t="shared" ref="BF226:BF246" si="35">IF(N226="snížená",J226,0)</f>
        <v>25300</v>
      </c>
      <c r="BG226" s="138">
        <f t="shared" ref="BG226:BG246" si="36">IF(N226="zákl. přenesená",J226,0)</f>
        <v>0</v>
      </c>
      <c r="BH226" s="138">
        <f t="shared" ref="BH226:BH246" si="37">IF(N226="sníž. přenesená",J226,0)</f>
        <v>0</v>
      </c>
      <c r="BI226" s="138">
        <f t="shared" ref="BI226:BI246" si="38">IF(N226="nulová",J226,0)</f>
        <v>0</v>
      </c>
      <c r="BJ226" s="15" t="s">
        <v>143</v>
      </c>
      <c r="BK226" s="138">
        <f t="shared" ref="BK226:BK246" si="39">ROUND(I226*H226,2)</f>
        <v>25300</v>
      </c>
      <c r="BL226" s="15" t="s">
        <v>206</v>
      </c>
      <c r="BM226" s="137" t="s">
        <v>2097</v>
      </c>
    </row>
    <row r="227" spans="2:65" s="1" customFormat="1" ht="24.2" customHeight="1">
      <c r="B227" s="126"/>
      <c r="C227" s="127" t="s">
        <v>439</v>
      </c>
      <c r="D227" s="127" t="s">
        <v>144</v>
      </c>
      <c r="E227" s="128" t="s">
        <v>1849</v>
      </c>
      <c r="F227" s="129" t="s">
        <v>1848</v>
      </c>
      <c r="G227" s="130" t="s">
        <v>1111</v>
      </c>
      <c r="H227" s="131">
        <v>4</v>
      </c>
      <c r="I227" s="132">
        <v>11100</v>
      </c>
      <c r="J227" s="132">
        <f t="shared" si="30"/>
        <v>44400</v>
      </c>
      <c r="K227" s="129" t="s">
        <v>148</v>
      </c>
      <c r="L227" s="27"/>
      <c r="M227" s="133" t="s">
        <v>1</v>
      </c>
      <c r="N227" s="134" t="s">
        <v>39</v>
      </c>
      <c r="O227" s="135">
        <v>1.4</v>
      </c>
      <c r="P227" s="135">
        <f t="shared" si="31"/>
        <v>5.6</v>
      </c>
      <c r="Q227" s="135">
        <v>3.9910000000000001E-2</v>
      </c>
      <c r="R227" s="135">
        <f t="shared" si="32"/>
        <v>0.15964</v>
      </c>
      <c r="S227" s="135">
        <v>0</v>
      </c>
      <c r="T227" s="136">
        <f t="shared" si="33"/>
        <v>0</v>
      </c>
      <c r="AR227" s="137" t="s">
        <v>206</v>
      </c>
      <c r="AT227" s="137" t="s">
        <v>144</v>
      </c>
      <c r="AU227" s="137" t="s">
        <v>143</v>
      </c>
      <c r="AY227" s="15" t="s">
        <v>141</v>
      </c>
      <c r="BE227" s="138">
        <f t="shared" si="34"/>
        <v>0</v>
      </c>
      <c r="BF227" s="138">
        <f t="shared" si="35"/>
        <v>44400</v>
      </c>
      <c r="BG227" s="138">
        <f t="shared" si="36"/>
        <v>0</v>
      </c>
      <c r="BH227" s="138">
        <f t="shared" si="37"/>
        <v>0</v>
      </c>
      <c r="BI227" s="138">
        <f t="shared" si="38"/>
        <v>0</v>
      </c>
      <c r="BJ227" s="15" t="s">
        <v>143</v>
      </c>
      <c r="BK227" s="138">
        <f t="shared" si="39"/>
        <v>44400</v>
      </c>
      <c r="BL227" s="15" t="s">
        <v>206</v>
      </c>
      <c r="BM227" s="137" t="s">
        <v>1847</v>
      </c>
    </row>
    <row r="228" spans="2:65" s="1" customFormat="1" ht="37.9" customHeight="1">
      <c r="B228" s="126"/>
      <c r="C228" s="127" t="s">
        <v>443</v>
      </c>
      <c r="D228" s="127" t="s">
        <v>144</v>
      </c>
      <c r="E228" s="128" t="s">
        <v>1846</v>
      </c>
      <c r="F228" s="129" t="s">
        <v>1845</v>
      </c>
      <c r="G228" s="130" t="s">
        <v>1111</v>
      </c>
      <c r="H228" s="131">
        <v>5</v>
      </c>
      <c r="I228" s="132">
        <v>4890</v>
      </c>
      <c r="J228" s="132">
        <f t="shared" si="30"/>
        <v>24450</v>
      </c>
      <c r="K228" s="129" t="s">
        <v>148</v>
      </c>
      <c r="L228" s="27"/>
      <c r="M228" s="133" t="s">
        <v>1</v>
      </c>
      <c r="N228" s="134" t="s">
        <v>39</v>
      </c>
      <c r="O228" s="135">
        <v>1.2</v>
      </c>
      <c r="P228" s="135">
        <f t="shared" si="31"/>
        <v>6</v>
      </c>
      <c r="Q228" s="135">
        <v>2.223E-2</v>
      </c>
      <c r="R228" s="135">
        <f t="shared" si="32"/>
        <v>0.11115</v>
      </c>
      <c r="S228" s="135">
        <v>0</v>
      </c>
      <c r="T228" s="136">
        <f t="shared" si="33"/>
        <v>0</v>
      </c>
      <c r="AR228" s="137" t="s">
        <v>206</v>
      </c>
      <c r="AT228" s="137" t="s">
        <v>144</v>
      </c>
      <c r="AU228" s="137" t="s">
        <v>143</v>
      </c>
      <c r="AY228" s="15" t="s">
        <v>141</v>
      </c>
      <c r="BE228" s="138">
        <f t="shared" si="34"/>
        <v>0</v>
      </c>
      <c r="BF228" s="138">
        <f t="shared" si="35"/>
        <v>24450</v>
      </c>
      <c r="BG228" s="138">
        <f t="shared" si="36"/>
        <v>0</v>
      </c>
      <c r="BH228" s="138">
        <f t="shared" si="37"/>
        <v>0</v>
      </c>
      <c r="BI228" s="138">
        <f t="shared" si="38"/>
        <v>0</v>
      </c>
      <c r="BJ228" s="15" t="s">
        <v>143</v>
      </c>
      <c r="BK228" s="138">
        <f t="shared" si="39"/>
        <v>24450</v>
      </c>
      <c r="BL228" s="15" t="s">
        <v>206</v>
      </c>
      <c r="BM228" s="137" t="s">
        <v>1844</v>
      </c>
    </row>
    <row r="229" spans="2:65" s="1" customFormat="1" ht="37.9" customHeight="1">
      <c r="B229" s="126"/>
      <c r="C229" s="127" t="s">
        <v>447</v>
      </c>
      <c r="D229" s="127" t="s">
        <v>144</v>
      </c>
      <c r="E229" s="128" t="s">
        <v>1843</v>
      </c>
      <c r="F229" s="129" t="s">
        <v>1842</v>
      </c>
      <c r="G229" s="130" t="s">
        <v>1111</v>
      </c>
      <c r="H229" s="131">
        <v>6</v>
      </c>
      <c r="I229" s="132">
        <v>3180</v>
      </c>
      <c r="J229" s="132">
        <f t="shared" si="30"/>
        <v>19080</v>
      </c>
      <c r="K229" s="129" t="s">
        <v>148</v>
      </c>
      <c r="L229" s="27"/>
      <c r="M229" s="133" t="s">
        <v>1</v>
      </c>
      <c r="N229" s="134" t="s">
        <v>39</v>
      </c>
      <c r="O229" s="135">
        <v>1.1000000000000001</v>
      </c>
      <c r="P229" s="135">
        <f t="shared" si="31"/>
        <v>6.6000000000000005</v>
      </c>
      <c r="Q229" s="135">
        <v>1.9210000000000001E-2</v>
      </c>
      <c r="R229" s="135">
        <f t="shared" si="32"/>
        <v>0.11526</v>
      </c>
      <c r="S229" s="135">
        <v>0</v>
      </c>
      <c r="T229" s="136">
        <f t="shared" si="33"/>
        <v>0</v>
      </c>
      <c r="AR229" s="137" t="s">
        <v>206</v>
      </c>
      <c r="AT229" s="137" t="s">
        <v>144</v>
      </c>
      <c r="AU229" s="137" t="s">
        <v>143</v>
      </c>
      <c r="AY229" s="15" t="s">
        <v>141</v>
      </c>
      <c r="BE229" s="138">
        <f t="shared" si="34"/>
        <v>0</v>
      </c>
      <c r="BF229" s="138">
        <f t="shared" si="35"/>
        <v>19080</v>
      </c>
      <c r="BG229" s="138">
        <f t="shared" si="36"/>
        <v>0</v>
      </c>
      <c r="BH229" s="138">
        <f t="shared" si="37"/>
        <v>0</v>
      </c>
      <c r="BI229" s="138">
        <f t="shared" si="38"/>
        <v>0</v>
      </c>
      <c r="BJ229" s="15" t="s">
        <v>143</v>
      </c>
      <c r="BK229" s="138">
        <f t="shared" si="39"/>
        <v>19080</v>
      </c>
      <c r="BL229" s="15" t="s">
        <v>206</v>
      </c>
      <c r="BM229" s="137" t="s">
        <v>1841</v>
      </c>
    </row>
    <row r="230" spans="2:65" s="1" customFormat="1" ht="24.2" customHeight="1">
      <c r="B230" s="126"/>
      <c r="C230" s="127" t="s">
        <v>452</v>
      </c>
      <c r="D230" s="127" t="s">
        <v>144</v>
      </c>
      <c r="E230" s="128" t="s">
        <v>1837</v>
      </c>
      <c r="F230" s="129" t="s">
        <v>1836</v>
      </c>
      <c r="G230" s="130" t="s">
        <v>1111</v>
      </c>
      <c r="H230" s="131">
        <v>2</v>
      </c>
      <c r="I230" s="132">
        <v>2240</v>
      </c>
      <c r="J230" s="132">
        <f t="shared" si="30"/>
        <v>4480</v>
      </c>
      <c r="K230" s="129" t="s">
        <v>148</v>
      </c>
      <c r="L230" s="27"/>
      <c r="M230" s="133" t="s">
        <v>1</v>
      </c>
      <c r="N230" s="134" t="s">
        <v>39</v>
      </c>
      <c r="O230" s="135">
        <v>2.4620000000000002</v>
      </c>
      <c r="P230" s="135">
        <f t="shared" si="31"/>
        <v>4.9240000000000004</v>
      </c>
      <c r="Q230" s="135">
        <v>1.57E-3</v>
      </c>
      <c r="R230" s="135">
        <f t="shared" si="32"/>
        <v>3.14E-3</v>
      </c>
      <c r="S230" s="135">
        <v>0</v>
      </c>
      <c r="T230" s="136">
        <f t="shared" si="33"/>
        <v>0</v>
      </c>
      <c r="AR230" s="137" t="s">
        <v>206</v>
      </c>
      <c r="AT230" s="137" t="s">
        <v>144</v>
      </c>
      <c r="AU230" s="137" t="s">
        <v>143</v>
      </c>
      <c r="AY230" s="15" t="s">
        <v>141</v>
      </c>
      <c r="BE230" s="138">
        <f t="shared" si="34"/>
        <v>0</v>
      </c>
      <c r="BF230" s="138">
        <f t="shared" si="35"/>
        <v>4480</v>
      </c>
      <c r="BG230" s="138">
        <f t="shared" si="36"/>
        <v>0</v>
      </c>
      <c r="BH230" s="138">
        <f t="shared" si="37"/>
        <v>0</v>
      </c>
      <c r="BI230" s="138">
        <f t="shared" si="38"/>
        <v>0</v>
      </c>
      <c r="BJ230" s="15" t="s">
        <v>143</v>
      </c>
      <c r="BK230" s="138">
        <f t="shared" si="39"/>
        <v>4480</v>
      </c>
      <c r="BL230" s="15" t="s">
        <v>206</v>
      </c>
      <c r="BM230" s="137" t="s">
        <v>1835</v>
      </c>
    </row>
    <row r="231" spans="2:65" s="1" customFormat="1" ht="16.5" customHeight="1">
      <c r="B231" s="126"/>
      <c r="C231" s="139" t="s">
        <v>457</v>
      </c>
      <c r="D231" s="139" t="s">
        <v>207</v>
      </c>
      <c r="E231" s="140" t="s">
        <v>1834</v>
      </c>
      <c r="F231" s="141" t="s">
        <v>1833</v>
      </c>
      <c r="G231" s="142" t="s">
        <v>147</v>
      </c>
      <c r="H231" s="143">
        <v>2</v>
      </c>
      <c r="I231" s="144">
        <v>24983</v>
      </c>
      <c r="J231" s="144">
        <f t="shared" si="30"/>
        <v>49966</v>
      </c>
      <c r="K231" s="141" t="s">
        <v>1</v>
      </c>
      <c r="L231" s="145"/>
      <c r="M231" s="146" t="s">
        <v>1</v>
      </c>
      <c r="N231" s="147" t="s">
        <v>39</v>
      </c>
      <c r="O231" s="135">
        <v>0</v>
      </c>
      <c r="P231" s="135">
        <f t="shared" si="31"/>
        <v>0</v>
      </c>
      <c r="Q231" s="135">
        <v>0</v>
      </c>
      <c r="R231" s="135">
        <f t="shared" si="32"/>
        <v>0</v>
      </c>
      <c r="S231" s="135">
        <v>0</v>
      </c>
      <c r="T231" s="136">
        <f t="shared" si="33"/>
        <v>0</v>
      </c>
      <c r="AR231" s="137" t="s">
        <v>274</v>
      </c>
      <c r="AT231" s="137" t="s">
        <v>207</v>
      </c>
      <c r="AU231" s="137" t="s">
        <v>143</v>
      </c>
      <c r="AY231" s="15" t="s">
        <v>141</v>
      </c>
      <c r="BE231" s="138">
        <f t="shared" si="34"/>
        <v>0</v>
      </c>
      <c r="BF231" s="138">
        <f t="shared" si="35"/>
        <v>49966</v>
      </c>
      <c r="BG231" s="138">
        <f t="shared" si="36"/>
        <v>0</v>
      </c>
      <c r="BH231" s="138">
        <f t="shared" si="37"/>
        <v>0</v>
      </c>
      <c r="BI231" s="138">
        <f t="shared" si="38"/>
        <v>0</v>
      </c>
      <c r="BJ231" s="15" t="s">
        <v>143</v>
      </c>
      <c r="BK231" s="138">
        <f t="shared" si="39"/>
        <v>49966</v>
      </c>
      <c r="BL231" s="15" t="s">
        <v>206</v>
      </c>
      <c r="BM231" s="137" t="s">
        <v>1832</v>
      </c>
    </row>
    <row r="232" spans="2:65" s="1" customFormat="1" ht="44.25" customHeight="1">
      <c r="B232" s="126"/>
      <c r="C232" s="127" t="s">
        <v>461</v>
      </c>
      <c r="D232" s="127" t="s">
        <v>144</v>
      </c>
      <c r="E232" s="128" t="s">
        <v>1831</v>
      </c>
      <c r="F232" s="129" t="s">
        <v>1830</v>
      </c>
      <c r="G232" s="130" t="s">
        <v>1111</v>
      </c>
      <c r="H232" s="131">
        <v>5</v>
      </c>
      <c r="I232" s="132">
        <v>9820</v>
      </c>
      <c r="J232" s="132">
        <f t="shared" si="30"/>
        <v>49100</v>
      </c>
      <c r="K232" s="129" t="s">
        <v>148</v>
      </c>
      <c r="L232" s="27"/>
      <c r="M232" s="133" t="s">
        <v>1</v>
      </c>
      <c r="N232" s="134" t="s">
        <v>39</v>
      </c>
      <c r="O232" s="135">
        <v>3.32</v>
      </c>
      <c r="P232" s="135">
        <f t="shared" si="31"/>
        <v>16.599999999999998</v>
      </c>
      <c r="Q232" s="135">
        <v>2.945E-2</v>
      </c>
      <c r="R232" s="135">
        <f t="shared" si="32"/>
        <v>0.14724999999999999</v>
      </c>
      <c r="S232" s="135">
        <v>0</v>
      </c>
      <c r="T232" s="136">
        <f t="shared" si="33"/>
        <v>0</v>
      </c>
      <c r="AR232" s="137" t="s">
        <v>206</v>
      </c>
      <c r="AT232" s="137" t="s">
        <v>144</v>
      </c>
      <c r="AU232" s="137" t="s">
        <v>143</v>
      </c>
      <c r="AY232" s="15" t="s">
        <v>141</v>
      </c>
      <c r="BE232" s="138">
        <f t="shared" si="34"/>
        <v>0</v>
      </c>
      <c r="BF232" s="138">
        <f t="shared" si="35"/>
        <v>49100</v>
      </c>
      <c r="BG232" s="138">
        <f t="shared" si="36"/>
        <v>0</v>
      </c>
      <c r="BH232" s="138">
        <f t="shared" si="37"/>
        <v>0</v>
      </c>
      <c r="BI232" s="138">
        <f t="shared" si="38"/>
        <v>0</v>
      </c>
      <c r="BJ232" s="15" t="s">
        <v>143</v>
      </c>
      <c r="BK232" s="138">
        <f t="shared" si="39"/>
        <v>49100</v>
      </c>
      <c r="BL232" s="15" t="s">
        <v>206</v>
      </c>
      <c r="BM232" s="137" t="s">
        <v>1829</v>
      </c>
    </row>
    <row r="233" spans="2:65" s="1" customFormat="1" ht="24.2" customHeight="1">
      <c r="B233" s="126"/>
      <c r="C233" s="127" t="s">
        <v>465</v>
      </c>
      <c r="D233" s="127" t="s">
        <v>144</v>
      </c>
      <c r="E233" s="128" t="s">
        <v>1828</v>
      </c>
      <c r="F233" s="129" t="s">
        <v>1827</v>
      </c>
      <c r="G233" s="130" t="s">
        <v>1111</v>
      </c>
      <c r="H233" s="131">
        <v>4</v>
      </c>
      <c r="I233" s="132">
        <v>928</v>
      </c>
      <c r="J233" s="132">
        <f t="shared" si="30"/>
        <v>3712</v>
      </c>
      <c r="K233" s="129" t="s">
        <v>148</v>
      </c>
      <c r="L233" s="27"/>
      <c r="M233" s="133" t="s">
        <v>1</v>
      </c>
      <c r="N233" s="134" t="s">
        <v>39</v>
      </c>
      <c r="O233" s="135">
        <v>0.25</v>
      </c>
      <c r="P233" s="135">
        <f t="shared" si="31"/>
        <v>1</v>
      </c>
      <c r="Q233" s="135">
        <v>8.4999999999999995E-4</v>
      </c>
      <c r="R233" s="135">
        <f t="shared" si="32"/>
        <v>3.3999999999999998E-3</v>
      </c>
      <c r="S233" s="135">
        <v>0</v>
      </c>
      <c r="T233" s="136">
        <f t="shared" si="33"/>
        <v>0</v>
      </c>
      <c r="AR233" s="137" t="s">
        <v>206</v>
      </c>
      <c r="AT233" s="137" t="s">
        <v>144</v>
      </c>
      <c r="AU233" s="137" t="s">
        <v>143</v>
      </c>
      <c r="AY233" s="15" t="s">
        <v>141</v>
      </c>
      <c r="BE233" s="138">
        <f t="shared" si="34"/>
        <v>0</v>
      </c>
      <c r="BF233" s="138">
        <f t="shared" si="35"/>
        <v>3712</v>
      </c>
      <c r="BG233" s="138">
        <f t="shared" si="36"/>
        <v>0</v>
      </c>
      <c r="BH233" s="138">
        <f t="shared" si="37"/>
        <v>0</v>
      </c>
      <c r="BI233" s="138">
        <f t="shared" si="38"/>
        <v>0</v>
      </c>
      <c r="BJ233" s="15" t="s">
        <v>143</v>
      </c>
      <c r="BK233" s="138">
        <f t="shared" si="39"/>
        <v>3712</v>
      </c>
      <c r="BL233" s="15" t="s">
        <v>206</v>
      </c>
      <c r="BM233" s="137" t="s">
        <v>1826</v>
      </c>
    </row>
    <row r="234" spans="2:65" s="1" customFormat="1" ht="33" customHeight="1">
      <c r="B234" s="126"/>
      <c r="C234" s="127" t="s">
        <v>469</v>
      </c>
      <c r="D234" s="127" t="s">
        <v>144</v>
      </c>
      <c r="E234" s="128" t="s">
        <v>1825</v>
      </c>
      <c r="F234" s="129" t="s">
        <v>1824</v>
      </c>
      <c r="G234" s="130" t="s">
        <v>1111</v>
      </c>
      <c r="H234" s="131">
        <v>4</v>
      </c>
      <c r="I234" s="132">
        <v>1120</v>
      </c>
      <c r="J234" s="132">
        <f t="shared" si="30"/>
        <v>4480</v>
      </c>
      <c r="K234" s="129" t="s">
        <v>148</v>
      </c>
      <c r="L234" s="27"/>
      <c r="M234" s="133" t="s">
        <v>1</v>
      </c>
      <c r="N234" s="134" t="s">
        <v>39</v>
      </c>
      <c r="O234" s="135">
        <v>0.25</v>
      </c>
      <c r="P234" s="135">
        <f t="shared" si="31"/>
        <v>1</v>
      </c>
      <c r="Q234" s="135">
        <v>8.4999999999999995E-4</v>
      </c>
      <c r="R234" s="135">
        <f t="shared" si="32"/>
        <v>3.3999999999999998E-3</v>
      </c>
      <c r="S234" s="135">
        <v>0</v>
      </c>
      <c r="T234" s="136">
        <f t="shared" si="33"/>
        <v>0</v>
      </c>
      <c r="AR234" s="137" t="s">
        <v>206</v>
      </c>
      <c r="AT234" s="137" t="s">
        <v>144</v>
      </c>
      <c r="AU234" s="137" t="s">
        <v>143</v>
      </c>
      <c r="AY234" s="15" t="s">
        <v>141</v>
      </c>
      <c r="BE234" s="138">
        <f t="shared" si="34"/>
        <v>0</v>
      </c>
      <c r="BF234" s="138">
        <f t="shared" si="35"/>
        <v>4480</v>
      </c>
      <c r="BG234" s="138">
        <f t="shared" si="36"/>
        <v>0</v>
      </c>
      <c r="BH234" s="138">
        <f t="shared" si="37"/>
        <v>0</v>
      </c>
      <c r="BI234" s="138">
        <f t="shared" si="38"/>
        <v>0</v>
      </c>
      <c r="BJ234" s="15" t="s">
        <v>143</v>
      </c>
      <c r="BK234" s="138">
        <f t="shared" si="39"/>
        <v>4480</v>
      </c>
      <c r="BL234" s="15" t="s">
        <v>206</v>
      </c>
      <c r="BM234" s="137" t="s">
        <v>1823</v>
      </c>
    </row>
    <row r="235" spans="2:65" s="1" customFormat="1" ht="16.5" customHeight="1">
      <c r="B235" s="126"/>
      <c r="C235" s="127" t="s">
        <v>473</v>
      </c>
      <c r="D235" s="127" t="s">
        <v>144</v>
      </c>
      <c r="E235" s="128" t="s">
        <v>1822</v>
      </c>
      <c r="F235" s="129" t="s">
        <v>1821</v>
      </c>
      <c r="G235" s="130" t="s">
        <v>1111</v>
      </c>
      <c r="H235" s="131">
        <v>2</v>
      </c>
      <c r="I235" s="132">
        <v>1290</v>
      </c>
      <c r="J235" s="132">
        <f t="shared" si="30"/>
        <v>2580</v>
      </c>
      <c r="K235" s="129" t="s">
        <v>1</v>
      </c>
      <c r="L235" s="27"/>
      <c r="M235" s="133" t="s">
        <v>1</v>
      </c>
      <c r="N235" s="134" t="s">
        <v>39</v>
      </c>
      <c r="O235" s="135">
        <v>0.25</v>
      </c>
      <c r="P235" s="135">
        <f t="shared" si="31"/>
        <v>0.5</v>
      </c>
      <c r="Q235" s="135">
        <v>8.4999999999999995E-4</v>
      </c>
      <c r="R235" s="135">
        <f t="shared" si="32"/>
        <v>1.6999999999999999E-3</v>
      </c>
      <c r="S235" s="135">
        <v>0</v>
      </c>
      <c r="T235" s="136">
        <f t="shared" si="33"/>
        <v>0</v>
      </c>
      <c r="AR235" s="137" t="s">
        <v>206</v>
      </c>
      <c r="AT235" s="137" t="s">
        <v>144</v>
      </c>
      <c r="AU235" s="137" t="s">
        <v>143</v>
      </c>
      <c r="AY235" s="15" t="s">
        <v>141</v>
      </c>
      <c r="BE235" s="138">
        <f t="shared" si="34"/>
        <v>0</v>
      </c>
      <c r="BF235" s="138">
        <f t="shared" si="35"/>
        <v>2580</v>
      </c>
      <c r="BG235" s="138">
        <f t="shared" si="36"/>
        <v>0</v>
      </c>
      <c r="BH235" s="138">
        <f t="shared" si="37"/>
        <v>0</v>
      </c>
      <c r="BI235" s="138">
        <f t="shared" si="38"/>
        <v>0</v>
      </c>
      <c r="BJ235" s="15" t="s">
        <v>143</v>
      </c>
      <c r="BK235" s="138">
        <f t="shared" si="39"/>
        <v>2580</v>
      </c>
      <c r="BL235" s="15" t="s">
        <v>206</v>
      </c>
      <c r="BM235" s="137" t="s">
        <v>1820</v>
      </c>
    </row>
    <row r="236" spans="2:65" s="1" customFormat="1" ht="37.9" customHeight="1">
      <c r="B236" s="126"/>
      <c r="C236" s="127" t="s">
        <v>477</v>
      </c>
      <c r="D236" s="127" t="s">
        <v>144</v>
      </c>
      <c r="E236" s="128" t="s">
        <v>1819</v>
      </c>
      <c r="F236" s="129" t="s">
        <v>1818</v>
      </c>
      <c r="G236" s="130" t="s">
        <v>1111</v>
      </c>
      <c r="H236" s="131">
        <v>3</v>
      </c>
      <c r="I236" s="132">
        <v>2910</v>
      </c>
      <c r="J236" s="132">
        <f t="shared" si="30"/>
        <v>8730</v>
      </c>
      <c r="K236" s="129" t="s">
        <v>148</v>
      </c>
      <c r="L236" s="27"/>
      <c r="M236" s="133" t="s">
        <v>1</v>
      </c>
      <c r="N236" s="134" t="s">
        <v>39</v>
      </c>
      <c r="O236" s="135">
        <v>0.85</v>
      </c>
      <c r="P236" s="135">
        <f t="shared" si="31"/>
        <v>2.5499999999999998</v>
      </c>
      <c r="Q236" s="135">
        <v>4.9300000000000004E-3</v>
      </c>
      <c r="R236" s="135">
        <f t="shared" si="32"/>
        <v>1.4790000000000001E-2</v>
      </c>
      <c r="S236" s="135">
        <v>0</v>
      </c>
      <c r="T236" s="136">
        <f t="shared" si="33"/>
        <v>0</v>
      </c>
      <c r="AR236" s="137" t="s">
        <v>206</v>
      </c>
      <c r="AT236" s="137" t="s">
        <v>144</v>
      </c>
      <c r="AU236" s="137" t="s">
        <v>143</v>
      </c>
      <c r="AY236" s="15" t="s">
        <v>141</v>
      </c>
      <c r="BE236" s="138">
        <f t="shared" si="34"/>
        <v>0</v>
      </c>
      <c r="BF236" s="138">
        <f t="shared" si="35"/>
        <v>8730</v>
      </c>
      <c r="BG236" s="138">
        <f t="shared" si="36"/>
        <v>0</v>
      </c>
      <c r="BH236" s="138">
        <f t="shared" si="37"/>
        <v>0</v>
      </c>
      <c r="BI236" s="138">
        <f t="shared" si="38"/>
        <v>0</v>
      </c>
      <c r="BJ236" s="15" t="s">
        <v>143</v>
      </c>
      <c r="BK236" s="138">
        <f t="shared" si="39"/>
        <v>8730</v>
      </c>
      <c r="BL236" s="15" t="s">
        <v>206</v>
      </c>
      <c r="BM236" s="137" t="s">
        <v>1817</v>
      </c>
    </row>
    <row r="237" spans="2:65" s="1" customFormat="1" ht="33" customHeight="1">
      <c r="B237" s="126"/>
      <c r="C237" s="127" t="s">
        <v>481</v>
      </c>
      <c r="D237" s="127" t="s">
        <v>144</v>
      </c>
      <c r="E237" s="128" t="s">
        <v>1813</v>
      </c>
      <c r="F237" s="129" t="s">
        <v>1812</v>
      </c>
      <c r="G237" s="130" t="s">
        <v>1111</v>
      </c>
      <c r="H237" s="131">
        <v>2</v>
      </c>
      <c r="I237" s="132">
        <v>6450</v>
      </c>
      <c r="J237" s="132">
        <f t="shared" si="30"/>
        <v>12900</v>
      </c>
      <c r="K237" s="129" t="s">
        <v>148</v>
      </c>
      <c r="L237" s="27"/>
      <c r="M237" s="133" t="s">
        <v>1</v>
      </c>
      <c r="N237" s="134" t="s">
        <v>39</v>
      </c>
      <c r="O237" s="135">
        <v>1.5</v>
      </c>
      <c r="P237" s="135">
        <f t="shared" si="31"/>
        <v>3</v>
      </c>
      <c r="Q237" s="135">
        <v>1.4749999999999999E-2</v>
      </c>
      <c r="R237" s="135">
        <f t="shared" si="32"/>
        <v>2.9499999999999998E-2</v>
      </c>
      <c r="S237" s="135">
        <v>0</v>
      </c>
      <c r="T237" s="136">
        <f t="shared" si="33"/>
        <v>0</v>
      </c>
      <c r="AR237" s="137" t="s">
        <v>206</v>
      </c>
      <c r="AT237" s="137" t="s">
        <v>144</v>
      </c>
      <c r="AU237" s="137" t="s">
        <v>143</v>
      </c>
      <c r="AY237" s="15" t="s">
        <v>141</v>
      </c>
      <c r="BE237" s="138">
        <f t="shared" si="34"/>
        <v>0</v>
      </c>
      <c r="BF237" s="138">
        <f t="shared" si="35"/>
        <v>12900</v>
      </c>
      <c r="BG237" s="138">
        <f t="shared" si="36"/>
        <v>0</v>
      </c>
      <c r="BH237" s="138">
        <f t="shared" si="37"/>
        <v>0</v>
      </c>
      <c r="BI237" s="138">
        <f t="shared" si="38"/>
        <v>0</v>
      </c>
      <c r="BJ237" s="15" t="s">
        <v>143</v>
      </c>
      <c r="BK237" s="138">
        <f t="shared" si="39"/>
        <v>12900</v>
      </c>
      <c r="BL237" s="15" t="s">
        <v>206</v>
      </c>
      <c r="BM237" s="137" t="s">
        <v>1811</v>
      </c>
    </row>
    <row r="238" spans="2:65" s="1" customFormat="1" ht="24.2" customHeight="1">
      <c r="B238" s="126"/>
      <c r="C238" s="127" t="s">
        <v>485</v>
      </c>
      <c r="D238" s="127" t="s">
        <v>144</v>
      </c>
      <c r="E238" s="128" t="s">
        <v>1804</v>
      </c>
      <c r="F238" s="129" t="s">
        <v>1803</v>
      </c>
      <c r="G238" s="130" t="s">
        <v>1111</v>
      </c>
      <c r="H238" s="131">
        <v>5</v>
      </c>
      <c r="I238" s="132">
        <v>1460</v>
      </c>
      <c r="J238" s="132">
        <f t="shared" si="30"/>
        <v>7300</v>
      </c>
      <c r="K238" s="129" t="s">
        <v>148</v>
      </c>
      <c r="L238" s="27"/>
      <c r="M238" s="133" t="s">
        <v>1</v>
      </c>
      <c r="N238" s="134" t="s">
        <v>39</v>
      </c>
      <c r="O238" s="135">
        <v>0.2</v>
      </c>
      <c r="P238" s="135">
        <f t="shared" si="31"/>
        <v>1</v>
      </c>
      <c r="Q238" s="135">
        <v>1.9599999999999999E-3</v>
      </c>
      <c r="R238" s="135">
        <f t="shared" si="32"/>
        <v>9.7999999999999997E-3</v>
      </c>
      <c r="S238" s="135">
        <v>0</v>
      </c>
      <c r="T238" s="136">
        <f t="shared" si="33"/>
        <v>0</v>
      </c>
      <c r="AR238" s="137" t="s">
        <v>206</v>
      </c>
      <c r="AT238" s="137" t="s">
        <v>144</v>
      </c>
      <c r="AU238" s="137" t="s">
        <v>143</v>
      </c>
      <c r="AY238" s="15" t="s">
        <v>141</v>
      </c>
      <c r="BE238" s="138">
        <f t="shared" si="34"/>
        <v>0</v>
      </c>
      <c r="BF238" s="138">
        <f t="shared" si="35"/>
        <v>7300</v>
      </c>
      <c r="BG238" s="138">
        <f t="shared" si="36"/>
        <v>0</v>
      </c>
      <c r="BH238" s="138">
        <f t="shared" si="37"/>
        <v>0</v>
      </c>
      <c r="BI238" s="138">
        <f t="shared" si="38"/>
        <v>0</v>
      </c>
      <c r="BJ238" s="15" t="s">
        <v>143</v>
      </c>
      <c r="BK238" s="138">
        <f t="shared" si="39"/>
        <v>7300</v>
      </c>
      <c r="BL238" s="15" t="s">
        <v>206</v>
      </c>
      <c r="BM238" s="137" t="s">
        <v>1802</v>
      </c>
    </row>
    <row r="239" spans="2:65" s="1" customFormat="1" ht="16.5" customHeight="1">
      <c r="B239" s="126"/>
      <c r="C239" s="127" t="s">
        <v>489</v>
      </c>
      <c r="D239" s="127" t="s">
        <v>144</v>
      </c>
      <c r="E239" s="128" t="s">
        <v>1801</v>
      </c>
      <c r="F239" s="129" t="s">
        <v>1800</v>
      </c>
      <c r="G239" s="130" t="s">
        <v>1111</v>
      </c>
      <c r="H239" s="131">
        <v>11</v>
      </c>
      <c r="I239" s="132">
        <v>2250</v>
      </c>
      <c r="J239" s="132">
        <f t="shared" si="30"/>
        <v>24750</v>
      </c>
      <c r="K239" s="129" t="s">
        <v>148</v>
      </c>
      <c r="L239" s="27"/>
      <c r="M239" s="133" t="s">
        <v>1</v>
      </c>
      <c r="N239" s="134" t="s">
        <v>39</v>
      </c>
      <c r="O239" s="135">
        <v>0.2</v>
      </c>
      <c r="P239" s="135">
        <f t="shared" si="31"/>
        <v>2.2000000000000002</v>
      </c>
      <c r="Q239" s="135">
        <v>1.8400000000000001E-3</v>
      </c>
      <c r="R239" s="135">
        <f t="shared" si="32"/>
        <v>2.0240000000000001E-2</v>
      </c>
      <c r="S239" s="135">
        <v>0</v>
      </c>
      <c r="T239" s="136">
        <f t="shared" si="33"/>
        <v>0</v>
      </c>
      <c r="AR239" s="137" t="s">
        <v>206</v>
      </c>
      <c r="AT239" s="137" t="s">
        <v>144</v>
      </c>
      <c r="AU239" s="137" t="s">
        <v>143</v>
      </c>
      <c r="AY239" s="15" t="s">
        <v>141</v>
      </c>
      <c r="BE239" s="138">
        <f t="shared" si="34"/>
        <v>0</v>
      </c>
      <c r="BF239" s="138">
        <f t="shared" si="35"/>
        <v>24750</v>
      </c>
      <c r="BG239" s="138">
        <f t="shared" si="36"/>
        <v>0</v>
      </c>
      <c r="BH239" s="138">
        <f t="shared" si="37"/>
        <v>0</v>
      </c>
      <c r="BI239" s="138">
        <f t="shared" si="38"/>
        <v>0</v>
      </c>
      <c r="BJ239" s="15" t="s">
        <v>143</v>
      </c>
      <c r="BK239" s="138">
        <f t="shared" si="39"/>
        <v>24750</v>
      </c>
      <c r="BL239" s="15" t="s">
        <v>206</v>
      </c>
      <c r="BM239" s="137" t="s">
        <v>1799</v>
      </c>
    </row>
    <row r="240" spans="2:65" s="1" customFormat="1" ht="24.2" customHeight="1">
      <c r="B240" s="126"/>
      <c r="C240" s="127" t="s">
        <v>493</v>
      </c>
      <c r="D240" s="127" t="s">
        <v>144</v>
      </c>
      <c r="E240" s="128" t="s">
        <v>1798</v>
      </c>
      <c r="F240" s="129" t="s">
        <v>1797</v>
      </c>
      <c r="G240" s="130" t="s">
        <v>1111</v>
      </c>
      <c r="H240" s="131">
        <v>2</v>
      </c>
      <c r="I240" s="132">
        <v>5470</v>
      </c>
      <c r="J240" s="132">
        <f t="shared" si="30"/>
        <v>10940</v>
      </c>
      <c r="K240" s="129" t="s">
        <v>148</v>
      </c>
      <c r="L240" s="27"/>
      <c r="M240" s="133" t="s">
        <v>1</v>
      </c>
      <c r="N240" s="134" t="s">
        <v>39</v>
      </c>
      <c r="O240" s="135">
        <v>0.4</v>
      </c>
      <c r="P240" s="135">
        <f t="shared" si="31"/>
        <v>0.8</v>
      </c>
      <c r="Q240" s="135">
        <v>2.3600000000000001E-3</v>
      </c>
      <c r="R240" s="135">
        <f t="shared" si="32"/>
        <v>4.7200000000000002E-3</v>
      </c>
      <c r="S240" s="135">
        <v>0</v>
      </c>
      <c r="T240" s="136">
        <f t="shared" si="33"/>
        <v>0</v>
      </c>
      <c r="AR240" s="137" t="s">
        <v>206</v>
      </c>
      <c r="AT240" s="137" t="s">
        <v>144</v>
      </c>
      <c r="AU240" s="137" t="s">
        <v>143</v>
      </c>
      <c r="AY240" s="15" t="s">
        <v>141</v>
      </c>
      <c r="BE240" s="138">
        <f t="shared" si="34"/>
        <v>0</v>
      </c>
      <c r="BF240" s="138">
        <f t="shared" si="35"/>
        <v>10940</v>
      </c>
      <c r="BG240" s="138">
        <f t="shared" si="36"/>
        <v>0</v>
      </c>
      <c r="BH240" s="138">
        <f t="shared" si="37"/>
        <v>0</v>
      </c>
      <c r="BI240" s="138">
        <f t="shared" si="38"/>
        <v>0</v>
      </c>
      <c r="BJ240" s="15" t="s">
        <v>143</v>
      </c>
      <c r="BK240" s="138">
        <f t="shared" si="39"/>
        <v>10940</v>
      </c>
      <c r="BL240" s="15" t="s">
        <v>206</v>
      </c>
      <c r="BM240" s="137" t="s">
        <v>1796</v>
      </c>
    </row>
    <row r="241" spans="2:65" s="1" customFormat="1" ht="24.2" customHeight="1">
      <c r="B241" s="126"/>
      <c r="C241" s="127" t="s">
        <v>497</v>
      </c>
      <c r="D241" s="127" t="s">
        <v>144</v>
      </c>
      <c r="E241" s="128" t="s">
        <v>1795</v>
      </c>
      <c r="F241" s="129" t="s">
        <v>1794</v>
      </c>
      <c r="G241" s="130" t="s">
        <v>1111</v>
      </c>
      <c r="H241" s="131">
        <v>5</v>
      </c>
      <c r="I241" s="132">
        <v>3670</v>
      </c>
      <c r="J241" s="132">
        <f t="shared" si="30"/>
        <v>18350</v>
      </c>
      <c r="K241" s="129" t="s">
        <v>148</v>
      </c>
      <c r="L241" s="27"/>
      <c r="M241" s="133" t="s">
        <v>1</v>
      </c>
      <c r="N241" s="134" t="s">
        <v>39</v>
      </c>
      <c r="O241" s="135">
        <v>0.5</v>
      </c>
      <c r="P241" s="135">
        <f t="shared" si="31"/>
        <v>2.5</v>
      </c>
      <c r="Q241" s="135">
        <v>1.8400000000000001E-3</v>
      </c>
      <c r="R241" s="135">
        <f t="shared" si="32"/>
        <v>9.1999999999999998E-3</v>
      </c>
      <c r="S241" s="135">
        <v>0</v>
      </c>
      <c r="T241" s="136">
        <f t="shared" si="33"/>
        <v>0</v>
      </c>
      <c r="AR241" s="137" t="s">
        <v>206</v>
      </c>
      <c r="AT241" s="137" t="s">
        <v>144</v>
      </c>
      <c r="AU241" s="137" t="s">
        <v>143</v>
      </c>
      <c r="AY241" s="15" t="s">
        <v>141</v>
      </c>
      <c r="BE241" s="138">
        <f t="shared" si="34"/>
        <v>0</v>
      </c>
      <c r="BF241" s="138">
        <f t="shared" si="35"/>
        <v>18350</v>
      </c>
      <c r="BG241" s="138">
        <f t="shared" si="36"/>
        <v>0</v>
      </c>
      <c r="BH241" s="138">
        <f t="shared" si="37"/>
        <v>0</v>
      </c>
      <c r="BI241" s="138">
        <f t="shared" si="38"/>
        <v>0</v>
      </c>
      <c r="BJ241" s="15" t="s">
        <v>143</v>
      </c>
      <c r="BK241" s="138">
        <f t="shared" si="39"/>
        <v>18350</v>
      </c>
      <c r="BL241" s="15" t="s">
        <v>206</v>
      </c>
      <c r="BM241" s="137" t="s">
        <v>1793</v>
      </c>
    </row>
    <row r="242" spans="2:65" s="1" customFormat="1" ht="24.2" customHeight="1">
      <c r="B242" s="126"/>
      <c r="C242" s="127" t="s">
        <v>501</v>
      </c>
      <c r="D242" s="127" t="s">
        <v>144</v>
      </c>
      <c r="E242" s="128" t="s">
        <v>1792</v>
      </c>
      <c r="F242" s="129" t="s">
        <v>1791</v>
      </c>
      <c r="G242" s="130" t="s">
        <v>147</v>
      </c>
      <c r="H242" s="131">
        <v>11</v>
      </c>
      <c r="I242" s="132">
        <v>321</v>
      </c>
      <c r="J242" s="132">
        <f t="shared" si="30"/>
        <v>3531</v>
      </c>
      <c r="K242" s="129" t="s">
        <v>148</v>
      </c>
      <c r="L242" s="27"/>
      <c r="M242" s="133" t="s">
        <v>1</v>
      </c>
      <c r="N242" s="134" t="s">
        <v>39</v>
      </c>
      <c r="O242" s="135">
        <v>0.113</v>
      </c>
      <c r="P242" s="135">
        <f t="shared" si="31"/>
        <v>1.2430000000000001</v>
      </c>
      <c r="Q242" s="135">
        <v>2.4000000000000001E-4</v>
      </c>
      <c r="R242" s="135">
        <f t="shared" si="32"/>
        <v>2.64E-3</v>
      </c>
      <c r="S242" s="135">
        <v>0</v>
      </c>
      <c r="T242" s="136">
        <f t="shared" si="33"/>
        <v>0</v>
      </c>
      <c r="AR242" s="137" t="s">
        <v>206</v>
      </c>
      <c r="AT242" s="137" t="s">
        <v>144</v>
      </c>
      <c r="AU242" s="137" t="s">
        <v>143</v>
      </c>
      <c r="AY242" s="15" t="s">
        <v>141</v>
      </c>
      <c r="BE242" s="138">
        <f t="shared" si="34"/>
        <v>0</v>
      </c>
      <c r="BF242" s="138">
        <f t="shared" si="35"/>
        <v>3531</v>
      </c>
      <c r="BG242" s="138">
        <f t="shared" si="36"/>
        <v>0</v>
      </c>
      <c r="BH242" s="138">
        <f t="shared" si="37"/>
        <v>0</v>
      </c>
      <c r="BI242" s="138">
        <f t="shared" si="38"/>
        <v>0</v>
      </c>
      <c r="BJ242" s="15" t="s">
        <v>143</v>
      </c>
      <c r="BK242" s="138">
        <f t="shared" si="39"/>
        <v>3531</v>
      </c>
      <c r="BL242" s="15" t="s">
        <v>206</v>
      </c>
      <c r="BM242" s="137" t="s">
        <v>1790</v>
      </c>
    </row>
    <row r="243" spans="2:65" s="1" customFormat="1" ht="33" customHeight="1">
      <c r="B243" s="126"/>
      <c r="C243" s="127" t="s">
        <v>512</v>
      </c>
      <c r="D243" s="127" t="s">
        <v>144</v>
      </c>
      <c r="E243" s="128" t="s">
        <v>1789</v>
      </c>
      <c r="F243" s="129" t="s">
        <v>1788</v>
      </c>
      <c r="G243" s="130" t="s">
        <v>147</v>
      </c>
      <c r="H243" s="131">
        <v>3</v>
      </c>
      <c r="I243" s="132">
        <v>639</v>
      </c>
      <c r="J243" s="132">
        <f t="shared" si="30"/>
        <v>1917</v>
      </c>
      <c r="K243" s="129" t="s">
        <v>148</v>
      </c>
      <c r="L243" s="27"/>
      <c r="M243" s="133" t="s">
        <v>1</v>
      </c>
      <c r="N243" s="134" t="s">
        <v>39</v>
      </c>
      <c r="O243" s="135">
        <v>0.113</v>
      </c>
      <c r="P243" s="135">
        <f t="shared" si="31"/>
        <v>0.33900000000000002</v>
      </c>
      <c r="Q243" s="135">
        <v>4.6999999999999999E-4</v>
      </c>
      <c r="R243" s="135">
        <f t="shared" si="32"/>
        <v>1.41E-3</v>
      </c>
      <c r="S243" s="135">
        <v>0</v>
      </c>
      <c r="T243" s="136">
        <f t="shared" si="33"/>
        <v>0</v>
      </c>
      <c r="AR243" s="137" t="s">
        <v>206</v>
      </c>
      <c r="AT243" s="137" t="s">
        <v>144</v>
      </c>
      <c r="AU243" s="137" t="s">
        <v>143</v>
      </c>
      <c r="AY243" s="15" t="s">
        <v>141</v>
      </c>
      <c r="BE243" s="138">
        <f t="shared" si="34"/>
        <v>0</v>
      </c>
      <c r="BF243" s="138">
        <f t="shared" si="35"/>
        <v>1917</v>
      </c>
      <c r="BG243" s="138">
        <f t="shared" si="36"/>
        <v>0</v>
      </c>
      <c r="BH243" s="138">
        <f t="shared" si="37"/>
        <v>0</v>
      </c>
      <c r="BI243" s="138">
        <f t="shared" si="38"/>
        <v>0</v>
      </c>
      <c r="BJ243" s="15" t="s">
        <v>143</v>
      </c>
      <c r="BK243" s="138">
        <f t="shared" si="39"/>
        <v>1917</v>
      </c>
      <c r="BL243" s="15" t="s">
        <v>206</v>
      </c>
      <c r="BM243" s="137" t="s">
        <v>1787</v>
      </c>
    </row>
    <row r="244" spans="2:65" s="1" customFormat="1" ht="33" customHeight="1">
      <c r="B244" s="126"/>
      <c r="C244" s="127" t="s">
        <v>520</v>
      </c>
      <c r="D244" s="127" t="s">
        <v>144</v>
      </c>
      <c r="E244" s="128" t="s">
        <v>1783</v>
      </c>
      <c r="F244" s="129" t="s">
        <v>1782</v>
      </c>
      <c r="G244" s="130" t="s">
        <v>147</v>
      </c>
      <c r="H244" s="131">
        <v>2</v>
      </c>
      <c r="I244" s="132">
        <v>580</v>
      </c>
      <c r="J244" s="132">
        <f t="shared" si="30"/>
        <v>1160</v>
      </c>
      <c r="K244" s="129" t="s">
        <v>148</v>
      </c>
      <c r="L244" s="27"/>
      <c r="M244" s="133" t="s">
        <v>1</v>
      </c>
      <c r="N244" s="134" t="s">
        <v>39</v>
      </c>
      <c r="O244" s="135">
        <v>0.33900000000000002</v>
      </c>
      <c r="P244" s="135">
        <f t="shared" si="31"/>
        <v>0.67800000000000005</v>
      </c>
      <c r="Q244" s="135">
        <v>1.01E-3</v>
      </c>
      <c r="R244" s="135">
        <f t="shared" si="32"/>
        <v>2.0200000000000001E-3</v>
      </c>
      <c r="S244" s="135">
        <v>0</v>
      </c>
      <c r="T244" s="136">
        <f t="shared" si="33"/>
        <v>0</v>
      </c>
      <c r="AR244" s="137" t="s">
        <v>206</v>
      </c>
      <c r="AT244" s="137" t="s">
        <v>144</v>
      </c>
      <c r="AU244" s="137" t="s">
        <v>143</v>
      </c>
      <c r="AY244" s="15" t="s">
        <v>141</v>
      </c>
      <c r="BE244" s="138">
        <f t="shared" si="34"/>
        <v>0</v>
      </c>
      <c r="BF244" s="138">
        <f t="shared" si="35"/>
        <v>1160</v>
      </c>
      <c r="BG244" s="138">
        <f t="shared" si="36"/>
        <v>0</v>
      </c>
      <c r="BH244" s="138">
        <f t="shared" si="37"/>
        <v>0</v>
      </c>
      <c r="BI244" s="138">
        <f t="shared" si="38"/>
        <v>0</v>
      </c>
      <c r="BJ244" s="15" t="s">
        <v>143</v>
      </c>
      <c r="BK244" s="138">
        <f t="shared" si="39"/>
        <v>1160</v>
      </c>
      <c r="BL244" s="15" t="s">
        <v>206</v>
      </c>
      <c r="BM244" s="137" t="s">
        <v>1781</v>
      </c>
    </row>
    <row r="245" spans="2:65" s="1" customFormat="1" ht="16.5" customHeight="1">
      <c r="B245" s="126"/>
      <c r="C245" s="127" t="s">
        <v>524</v>
      </c>
      <c r="D245" s="127" t="s">
        <v>144</v>
      </c>
      <c r="E245" s="128" t="s">
        <v>1780</v>
      </c>
      <c r="F245" s="129" t="s">
        <v>1779</v>
      </c>
      <c r="G245" s="130" t="s">
        <v>147</v>
      </c>
      <c r="H245" s="131">
        <v>5</v>
      </c>
      <c r="I245" s="132">
        <v>689</v>
      </c>
      <c r="J245" s="132">
        <f t="shared" si="30"/>
        <v>3445</v>
      </c>
      <c r="K245" s="129" t="s">
        <v>148</v>
      </c>
      <c r="L245" s="27"/>
      <c r="M245" s="133" t="s">
        <v>1</v>
      </c>
      <c r="N245" s="134" t="s">
        <v>39</v>
      </c>
      <c r="O245" s="135">
        <v>0.95</v>
      </c>
      <c r="P245" s="135">
        <f t="shared" si="31"/>
        <v>4.75</v>
      </c>
      <c r="Q245" s="135">
        <v>3.1E-4</v>
      </c>
      <c r="R245" s="135">
        <f t="shared" si="32"/>
        <v>1.5499999999999999E-3</v>
      </c>
      <c r="S245" s="135">
        <v>0</v>
      </c>
      <c r="T245" s="136">
        <f t="shared" si="33"/>
        <v>0</v>
      </c>
      <c r="AR245" s="137" t="s">
        <v>206</v>
      </c>
      <c r="AT245" s="137" t="s">
        <v>144</v>
      </c>
      <c r="AU245" s="137" t="s">
        <v>143</v>
      </c>
      <c r="AY245" s="15" t="s">
        <v>141</v>
      </c>
      <c r="BE245" s="138">
        <f t="shared" si="34"/>
        <v>0</v>
      </c>
      <c r="BF245" s="138">
        <f t="shared" si="35"/>
        <v>3445</v>
      </c>
      <c r="BG245" s="138">
        <f t="shared" si="36"/>
        <v>0</v>
      </c>
      <c r="BH245" s="138">
        <f t="shared" si="37"/>
        <v>0</v>
      </c>
      <c r="BI245" s="138">
        <f t="shared" si="38"/>
        <v>0</v>
      </c>
      <c r="BJ245" s="15" t="s">
        <v>143</v>
      </c>
      <c r="BK245" s="138">
        <f t="shared" si="39"/>
        <v>3445</v>
      </c>
      <c r="BL245" s="15" t="s">
        <v>206</v>
      </c>
      <c r="BM245" s="137" t="s">
        <v>1778</v>
      </c>
    </row>
    <row r="246" spans="2:65" s="1" customFormat="1" ht="44.25" customHeight="1">
      <c r="B246" s="126"/>
      <c r="C246" s="127" t="s">
        <v>529</v>
      </c>
      <c r="D246" s="127" t="s">
        <v>144</v>
      </c>
      <c r="E246" s="128" t="s">
        <v>1777</v>
      </c>
      <c r="F246" s="129" t="s">
        <v>1776</v>
      </c>
      <c r="G246" s="130" t="s">
        <v>179</v>
      </c>
      <c r="H246" s="131">
        <v>0.72599999999999998</v>
      </c>
      <c r="I246" s="132">
        <v>765</v>
      </c>
      <c r="J246" s="132">
        <f t="shared" si="30"/>
        <v>555.39</v>
      </c>
      <c r="K246" s="129" t="s">
        <v>148</v>
      </c>
      <c r="L246" s="27"/>
      <c r="M246" s="133" t="s">
        <v>1</v>
      </c>
      <c r="N246" s="134" t="s">
        <v>39</v>
      </c>
      <c r="O246" s="135">
        <v>1.5169999999999999</v>
      </c>
      <c r="P246" s="135">
        <f t="shared" si="31"/>
        <v>1.1013419999999998</v>
      </c>
      <c r="Q246" s="135">
        <v>0</v>
      </c>
      <c r="R246" s="135">
        <f t="shared" si="32"/>
        <v>0</v>
      </c>
      <c r="S246" s="135">
        <v>0</v>
      </c>
      <c r="T246" s="136">
        <f t="shared" si="33"/>
        <v>0</v>
      </c>
      <c r="AR246" s="137" t="s">
        <v>206</v>
      </c>
      <c r="AT246" s="137" t="s">
        <v>144</v>
      </c>
      <c r="AU246" s="137" t="s">
        <v>143</v>
      </c>
      <c r="AY246" s="15" t="s">
        <v>141</v>
      </c>
      <c r="BE246" s="138">
        <f t="shared" si="34"/>
        <v>0</v>
      </c>
      <c r="BF246" s="138">
        <f t="shared" si="35"/>
        <v>555.39</v>
      </c>
      <c r="BG246" s="138">
        <f t="shared" si="36"/>
        <v>0</v>
      </c>
      <c r="BH246" s="138">
        <f t="shared" si="37"/>
        <v>0</v>
      </c>
      <c r="BI246" s="138">
        <f t="shared" si="38"/>
        <v>0</v>
      </c>
      <c r="BJ246" s="15" t="s">
        <v>143</v>
      </c>
      <c r="BK246" s="138">
        <f t="shared" si="39"/>
        <v>555.39</v>
      </c>
      <c r="BL246" s="15" t="s">
        <v>206</v>
      </c>
      <c r="BM246" s="137" t="s">
        <v>1775</v>
      </c>
    </row>
    <row r="247" spans="2:65" s="11" customFormat="1" ht="22.9" customHeight="1">
      <c r="B247" s="115"/>
      <c r="D247" s="116" t="s">
        <v>72</v>
      </c>
      <c r="E247" s="124" t="s">
        <v>1774</v>
      </c>
      <c r="F247" s="124" t="s">
        <v>1773</v>
      </c>
      <c r="J247" s="125">
        <f>BK247</f>
        <v>64551.56</v>
      </c>
      <c r="L247" s="115"/>
      <c r="M247" s="119"/>
      <c r="P247" s="120">
        <f>SUM(P248:P251)</f>
        <v>15.631978999999999</v>
      </c>
      <c r="R247" s="120">
        <f>SUM(R248:R251)</f>
        <v>8.6500000000000007E-2</v>
      </c>
      <c r="T247" s="121">
        <f>SUM(T248:T251)</f>
        <v>0</v>
      </c>
      <c r="AR247" s="116" t="s">
        <v>143</v>
      </c>
      <c r="AT247" s="122" t="s">
        <v>72</v>
      </c>
      <c r="AU247" s="122" t="s">
        <v>81</v>
      </c>
      <c r="AY247" s="116" t="s">
        <v>141</v>
      </c>
      <c r="BK247" s="123">
        <f>SUM(BK248:BK251)</f>
        <v>64551.56</v>
      </c>
    </row>
    <row r="248" spans="2:65" s="1" customFormat="1" ht="37.9" customHeight="1">
      <c r="B248" s="126"/>
      <c r="C248" s="127" t="s">
        <v>533</v>
      </c>
      <c r="D248" s="127" t="s">
        <v>144</v>
      </c>
      <c r="E248" s="128" t="s">
        <v>1772</v>
      </c>
      <c r="F248" s="129" t="s">
        <v>1771</v>
      </c>
      <c r="G248" s="130" t="s">
        <v>1111</v>
      </c>
      <c r="H248" s="131">
        <v>5</v>
      </c>
      <c r="I248" s="132">
        <v>11700</v>
      </c>
      <c r="J248" s="132">
        <f>ROUND(I248*H248,2)</f>
        <v>58500</v>
      </c>
      <c r="K248" s="129" t="s">
        <v>148</v>
      </c>
      <c r="L248" s="27"/>
      <c r="M248" s="133" t="s">
        <v>1</v>
      </c>
      <c r="N248" s="134" t="s">
        <v>39</v>
      </c>
      <c r="O248" s="135">
        <v>2.5</v>
      </c>
      <c r="P248" s="135">
        <f>O248*H248</f>
        <v>12.5</v>
      </c>
      <c r="Q248" s="135">
        <v>1.6650000000000002E-2</v>
      </c>
      <c r="R248" s="135">
        <f>Q248*H248</f>
        <v>8.3250000000000005E-2</v>
      </c>
      <c r="S248" s="135">
        <v>0</v>
      </c>
      <c r="T248" s="136">
        <f>S248*H248</f>
        <v>0</v>
      </c>
      <c r="AR248" s="137" t="s">
        <v>206</v>
      </c>
      <c r="AT248" s="137" t="s">
        <v>144</v>
      </c>
      <c r="AU248" s="137" t="s">
        <v>143</v>
      </c>
      <c r="AY248" s="15" t="s">
        <v>141</v>
      </c>
      <c r="BE248" s="138">
        <f>IF(N248="základní",J248,0)</f>
        <v>0</v>
      </c>
      <c r="BF248" s="138">
        <f>IF(N248="snížená",J248,0)</f>
        <v>58500</v>
      </c>
      <c r="BG248" s="138">
        <f>IF(N248="zákl. přenesená",J248,0)</f>
        <v>0</v>
      </c>
      <c r="BH248" s="138">
        <f>IF(N248="sníž. přenesená",J248,0)</f>
        <v>0</v>
      </c>
      <c r="BI248" s="138">
        <f>IF(N248="nulová",J248,0)</f>
        <v>0</v>
      </c>
      <c r="BJ248" s="15" t="s">
        <v>143</v>
      </c>
      <c r="BK248" s="138">
        <f>ROUND(I248*H248,2)</f>
        <v>58500</v>
      </c>
      <c r="BL248" s="15" t="s">
        <v>206</v>
      </c>
      <c r="BM248" s="137" t="s">
        <v>1770</v>
      </c>
    </row>
    <row r="249" spans="2:65" s="1" customFormat="1" ht="24.2" customHeight="1">
      <c r="B249" s="126"/>
      <c r="C249" s="127" t="s">
        <v>536</v>
      </c>
      <c r="D249" s="127" t="s">
        <v>144</v>
      </c>
      <c r="E249" s="128" t="s">
        <v>1769</v>
      </c>
      <c r="F249" s="129" t="s">
        <v>1768</v>
      </c>
      <c r="G249" s="130" t="s">
        <v>1111</v>
      </c>
      <c r="H249" s="131">
        <v>5</v>
      </c>
      <c r="I249" s="132">
        <v>278</v>
      </c>
      <c r="J249" s="132">
        <f>ROUND(I249*H249,2)</f>
        <v>1390</v>
      </c>
      <c r="K249" s="129" t="s">
        <v>148</v>
      </c>
      <c r="L249" s="27"/>
      <c r="M249" s="133" t="s">
        <v>1</v>
      </c>
      <c r="N249" s="134" t="s">
        <v>39</v>
      </c>
      <c r="O249" s="135">
        <v>0.1</v>
      </c>
      <c r="P249" s="135">
        <f>O249*H249</f>
        <v>0.5</v>
      </c>
      <c r="Q249" s="135">
        <v>1.4999999999999999E-4</v>
      </c>
      <c r="R249" s="135">
        <f>Q249*H249</f>
        <v>7.4999999999999991E-4</v>
      </c>
      <c r="S249" s="135">
        <v>0</v>
      </c>
      <c r="T249" s="136">
        <f>S249*H249</f>
        <v>0</v>
      </c>
      <c r="AR249" s="137" t="s">
        <v>206</v>
      </c>
      <c r="AT249" s="137" t="s">
        <v>144</v>
      </c>
      <c r="AU249" s="137" t="s">
        <v>143</v>
      </c>
      <c r="AY249" s="15" t="s">
        <v>141</v>
      </c>
      <c r="BE249" s="138">
        <f>IF(N249="základní",J249,0)</f>
        <v>0</v>
      </c>
      <c r="BF249" s="138">
        <f>IF(N249="snížená",J249,0)</f>
        <v>1390</v>
      </c>
      <c r="BG249" s="138">
        <f>IF(N249="zákl. přenesená",J249,0)</f>
        <v>0</v>
      </c>
      <c r="BH249" s="138">
        <f>IF(N249="sníž. přenesená",J249,0)</f>
        <v>0</v>
      </c>
      <c r="BI249" s="138">
        <f>IF(N249="nulová",J249,0)</f>
        <v>0</v>
      </c>
      <c r="BJ249" s="15" t="s">
        <v>143</v>
      </c>
      <c r="BK249" s="138">
        <f>ROUND(I249*H249,2)</f>
        <v>1390</v>
      </c>
      <c r="BL249" s="15" t="s">
        <v>206</v>
      </c>
      <c r="BM249" s="137" t="s">
        <v>1767</v>
      </c>
    </row>
    <row r="250" spans="2:65" s="1" customFormat="1" ht="24.2" customHeight="1">
      <c r="B250" s="126"/>
      <c r="C250" s="127" t="s">
        <v>540</v>
      </c>
      <c r="D250" s="127" t="s">
        <v>144</v>
      </c>
      <c r="E250" s="128" t="s">
        <v>1766</v>
      </c>
      <c r="F250" s="129" t="s">
        <v>1765</v>
      </c>
      <c r="G250" s="130" t="s">
        <v>1111</v>
      </c>
      <c r="H250" s="131">
        <v>5</v>
      </c>
      <c r="I250" s="132">
        <v>919</v>
      </c>
      <c r="J250" s="132">
        <f>ROUND(I250*H250,2)</f>
        <v>4595</v>
      </c>
      <c r="K250" s="129" t="s">
        <v>148</v>
      </c>
      <c r="L250" s="27"/>
      <c r="M250" s="133" t="s">
        <v>1</v>
      </c>
      <c r="N250" s="134" t="s">
        <v>39</v>
      </c>
      <c r="O250" s="135">
        <v>0.5</v>
      </c>
      <c r="P250" s="135">
        <f>O250*H250</f>
        <v>2.5</v>
      </c>
      <c r="Q250" s="135">
        <v>5.0000000000000001E-4</v>
      </c>
      <c r="R250" s="135">
        <f>Q250*H250</f>
        <v>2.5000000000000001E-3</v>
      </c>
      <c r="S250" s="135">
        <v>0</v>
      </c>
      <c r="T250" s="136">
        <f>S250*H250</f>
        <v>0</v>
      </c>
      <c r="AR250" s="137" t="s">
        <v>206</v>
      </c>
      <c r="AT250" s="137" t="s">
        <v>144</v>
      </c>
      <c r="AU250" s="137" t="s">
        <v>143</v>
      </c>
      <c r="AY250" s="15" t="s">
        <v>141</v>
      </c>
      <c r="BE250" s="138">
        <f>IF(N250="základní",J250,0)</f>
        <v>0</v>
      </c>
      <c r="BF250" s="138">
        <f>IF(N250="snížená",J250,0)</f>
        <v>4595</v>
      </c>
      <c r="BG250" s="138">
        <f>IF(N250="zákl. přenesená",J250,0)</f>
        <v>0</v>
      </c>
      <c r="BH250" s="138">
        <f>IF(N250="sníž. přenesená",J250,0)</f>
        <v>0</v>
      </c>
      <c r="BI250" s="138">
        <f>IF(N250="nulová",J250,0)</f>
        <v>0</v>
      </c>
      <c r="BJ250" s="15" t="s">
        <v>143</v>
      </c>
      <c r="BK250" s="138">
        <f>ROUND(I250*H250,2)</f>
        <v>4595</v>
      </c>
      <c r="BL250" s="15" t="s">
        <v>206</v>
      </c>
      <c r="BM250" s="137" t="s">
        <v>1764</v>
      </c>
    </row>
    <row r="251" spans="2:65" s="1" customFormat="1" ht="44.25" customHeight="1">
      <c r="B251" s="126"/>
      <c r="C251" s="127" t="s">
        <v>545</v>
      </c>
      <c r="D251" s="127" t="s">
        <v>144</v>
      </c>
      <c r="E251" s="128" t="s">
        <v>1763</v>
      </c>
      <c r="F251" s="129" t="s">
        <v>1762</v>
      </c>
      <c r="G251" s="130" t="s">
        <v>179</v>
      </c>
      <c r="H251" s="131">
        <v>8.6999999999999994E-2</v>
      </c>
      <c r="I251" s="132">
        <v>765</v>
      </c>
      <c r="J251" s="132">
        <f>ROUND(I251*H251,2)</f>
        <v>66.56</v>
      </c>
      <c r="K251" s="129" t="s">
        <v>148</v>
      </c>
      <c r="L251" s="27"/>
      <c r="M251" s="133" t="s">
        <v>1</v>
      </c>
      <c r="N251" s="134" t="s">
        <v>39</v>
      </c>
      <c r="O251" s="135">
        <v>1.5169999999999999</v>
      </c>
      <c r="P251" s="135">
        <f>O251*H251</f>
        <v>0.13197899999999999</v>
      </c>
      <c r="Q251" s="135">
        <v>0</v>
      </c>
      <c r="R251" s="135">
        <f>Q251*H251</f>
        <v>0</v>
      </c>
      <c r="S251" s="135">
        <v>0</v>
      </c>
      <c r="T251" s="136">
        <f>S251*H251</f>
        <v>0</v>
      </c>
      <c r="AR251" s="137" t="s">
        <v>206</v>
      </c>
      <c r="AT251" s="137" t="s">
        <v>144</v>
      </c>
      <c r="AU251" s="137" t="s">
        <v>143</v>
      </c>
      <c r="AY251" s="15" t="s">
        <v>141</v>
      </c>
      <c r="BE251" s="138">
        <f>IF(N251="základní",J251,0)</f>
        <v>0</v>
      </c>
      <c r="BF251" s="138">
        <f>IF(N251="snížená",J251,0)</f>
        <v>66.56</v>
      </c>
      <c r="BG251" s="138">
        <f>IF(N251="zákl. přenesená",J251,0)</f>
        <v>0</v>
      </c>
      <c r="BH251" s="138">
        <f>IF(N251="sníž. přenesená",J251,0)</f>
        <v>0</v>
      </c>
      <c r="BI251" s="138">
        <f>IF(N251="nulová",J251,0)</f>
        <v>0</v>
      </c>
      <c r="BJ251" s="15" t="s">
        <v>143</v>
      </c>
      <c r="BK251" s="138">
        <f>ROUND(I251*H251,2)</f>
        <v>66.56</v>
      </c>
      <c r="BL251" s="15" t="s">
        <v>206</v>
      </c>
      <c r="BM251" s="137" t="s">
        <v>1761</v>
      </c>
    </row>
    <row r="252" spans="2:65" s="11" customFormat="1" ht="22.9" customHeight="1">
      <c r="B252" s="115"/>
      <c r="D252" s="116" t="s">
        <v>72</v>
      </c>
      <c r="E252" s="124" t="s">
        <v>1500</v>
      </c>
      <c r="F252" s="124" t="s">
        <v>1499</v>
      </c>
      <c r="J252" s="125">
        <f>BK252</f>
        <v>7085.4</v>
      </c>
      <c r="L252" s="115"/>
      <c r="M252" s="119"/>
      <c r="P252" s="120">
        <f>SUM(P253:P256)</f>
        <v>1.2822580000000001</v>
      </c>
      <c r="R252" s="120">
        <f>SUM(R253:R256)</f>
        <v>5.9500000000000004E-3</v>
      </c>
      <c r="T252" s="121">
        <f>SUM(T253:T256)</f>
        <v>0</v>
      </c>
      <c r="AR252" s="116" t="s">
        <v>143</v>
      </c>
      <c r="AT252" s="122" t="s">
        <v>72</v>
      </c>
      <c r="AU252" s="122" t="s">
        <v>81</v>
      </c>
      <c r="AY252" s="116" t="s">
        <v>141</v>
      </c>
      <c r="BK252" s="123">
        <f>SUM(BK253:BK256)</f>
        <v>7085.4</v>
      </c>
    </row>
    <row r="253" spans="2:65" s="1" customFormat="1" ht="37.9" customHeight="1">
      <c r="B253" s="126"/>
      <c r="C253" s="127" t="s">
        <v>549</v>
      </c>
      <c r="D253" s="127" t="s">
        <v>144</v>
      </c>
      <c r="E253" s="128" t="s">
        <v>1760</v>
      </c>
      <c r="F253" s="129" t="s">
        <v>1759</v>
      </c>
      <c r="G253" s="130" t="s">
        <v>1111</v>
      </c>
      <c r="H253" s="131">
        <v>1</v>
      </c>
      <c r="I253" s="132">
        <v>4910</v>
      </c>
      <c r="J253" s="132">
        <f>ROUND(I253*H253,2)</f>
        <v>4910</v>
      </c>
      <c r="K253" s="129" t="s">
        <v>148</v>
      </c>
      <c r="L253" s="27"/>
      <c r="M253" s="133" t="s">
        <v>1</v>
      </c>
      <c r="N253" s="134" t="s">
        <v>39</v>
      </c>
      <c r="O253" s="135">
        <v>0.5</v>
      </c>
      <c r="P253" s="135">
        <f>O253*H253</f>
        <v>0.5</v>
      </c>
      <c r="Q253" s="135">
        <v>4.62E-3</v>
      </c>
      <c r="R253" s="135">
        <f>Q253*H253</f>
        <v>4.62E-3</v>
      </c>
      <c r="S253" s="135">
        <v>0</v>
      </c>
      <c r="T253" s="136">
        <f>S253*H253</f>
        <v>0</v>
      </c>
      <c r="AR253" s="137" t="s">
        <v>206</v>
      </c>
      <c r="AT253" s="137" t="s">
        <v>144</v>
      </c>
      <c r="AU253" s="137" t="s">
        <v>143</v>
      </c>
      <c r="AY253" s="15" t="s">
        <v>141</v>
      </c>
      <c r="BE253" s="138">
        <f>IF(N253="základní",J253,0)</f>
        <v>0</v>
      </c>
      <c r="BF253" s="138">
        <f>IF(N253="snížená",J253,0)</f>
        <v>4910</v>
      </c>
      <c r="BG253" s="138">
        <f>IF(N253="zákl. přenesená",J253,0)</f>
        <v>0</v>
      </c>
      <c r="BH253" s="138">
        <f>IF(N253="sníž. přenesená",J253,0)</f>
        <v>0</v>
      </c>
      <c r="BI253" s="138">
        <f>IF(N253="nulová",J253,0)</f>
        <v>0</v>
      </c>
      <c r="BJ253" s="15" t="s">
        <v>143</v>
      </c>
      <c r="BK253" s="138">
        <f>ROUND(I253*H253,2)</f>
        <v>4910</v>
      </c>
      <c r="BL253" s="15" t="s">
        <v>206</v>
      </c>
      <c r="BM253" s="137" t="s">
        <v>1758</v>
      </c>
    </row>
    <row r="254" spans="2:65" s="1" customFormat="1" ht="24.2" customHeight="1">
      <c r="B254" s="126"/>
      <c r="C254" s="127" t="s">
        <v>554</v>
      </c>
      <c r="D254" s="127" t="s">
        <v>144</v>
      </c>
      <c r="E254" s="128" t="s">
        <v>1757</v>
      </c>
      <c r="F254" s="129" t="s">
        <v>1756</v>
      </c>
      <c r="G254" s="130" t="s">
        <v>1111</v>
      </c>
      <c r="H254" s="131">
        <v>1</v>
      </c>
      <c r="I254" s="132">
        <v>764</v>
      </c>
      <c r="J254" s="132">
        <f>ROUND(I254*H254,2)</f>
        <v>764</v>
      </c>
      <c r="K254" s="129" t="s">
        <v>148</v>
      </c>
      <c r="L254" s="27"/>
      <c r="M254" s="133" t="s">
        <v>1</v>
      </c>
      <c r="N254" s="134" t="s">
        <v>39</v>
      </c>
      <c r="O254" s="135">
        <v>0.5</v>
      </c>
      <c r="P254" s="135">
        <f>O254*H254</f>
        <v>0.5</v>
      </c>
      <c r="Q254" s="135">
        <v>6.4999999999999997E-4</v>
      </c>
      <c r="R254" s="135">
        <f>Q254*H254</f>
        <v>6.4999999999999997E-4</v>
      </c>
      <c r="S254" s="135">
        <v>0</v>
      </c>
      <c r="T254" s="136">
        <f>S254*H254</f>
        <v>0</v>
      </c>
      <c r="AR254" s="137" t="s">
        <v>206</v>
      </c>
      <c r="AT254" s="137" t="s">
        <v>144</v>
      </c>
      <c r="AU254" s="137" t="s">
        <v>143</v>
      </c>
      <c r="AY254" s="15" t="s">
        <v>141</v>
      </c>
      <c r="BE254" s="138">
        <f>IF(N254="základní",J254,0)</f>
        <v>0</v>
      </c>
      <c r="BF254" s="138">
        <f>IF(N254="snížená",J254,0)</f>
        <v>764</v>
      </c>
      <c r="BG254" s="138">
        <f>IF(N254="zákl. přenesená",J254,0)</f>
        <v>0</v>
      </c>
      <c r="BH254" s="138">
        <f>IF(N254="sníž. přenesená",J254,0)</f>
        <v>0</v>
      </c>
      <c r="BI254" s="138">
        <f>IF(N254="nulová",J254,0)</f>
        <v>0</v>
      </c>
      <c r="BJ254" s="15" t="s">
        <v>143</v>
      </c>
      <c r="BK254" s="138">
        <f>ROUND(I254*H254,2)</f>
        <v>764</v>
      </c>
      <c r="BL254" s="15" t="s">
        <v>206</v>
      </c>
      <c r="BM254" s="137" t="s">
        <v>1755</v>
      </c>
    </row>
    <row r="255" spans="2:65" s="1" customFormat="1" ht="33" customHeight="1">
      <c r="B255" s="126"/>
      <c r="C255" s="127" t="s">
        <v>558</v>
      </c>
      <c r="D255" s="127" t="s">
        <v>144</v>
      </c>
      <c r="E255" s="128" t="s">
        <v>1754</v>
      </c>
      <c r="F255" s="129" t="s">
        <v>1753</v>
      </c>
      <c r="G255" s="130" t="s">
        <v>147</v>
      </c>
      <c r="H255" s="131">
        <v>1</v>
      </c>
      <c r="I255" s="132">
        <v>1400</v>
      </c>
      <c r="J255" s="132">
        <f>ROUND(I255*H255,2)</f>
        <v>1400</v>
      </c>
      <c r="K255" s="129" t="s">
        <v>148</v>
      </c>
      <c r="L255" s="27"/>
      <c r="M255" s="133" t="s">
        <v>1</v>
      </c>
      <c r="N255" s="134" t="s">
        <v>39</v>
      </c>
      <c r="O255" s="135">
        <v>0.25800000000000001</v>
      </c>
      <c r="P255" s="135">
        <f>O255*H255</f>
        <v>0.25800000000000001</v>
      </c>
      <c r="Q255" s="135">
        <v>6.8000000000000005E-4</v>
      </c>
      <c r="R255" s="135">
        <f>Q255*H255</f>
        <v>6.8000000000000005E-4</v>
      </c>
      <c r="S255" s="135">
        <v>0</v>
      </c>
      <c r="T255" s="136">
        <f>S255*H255</f>
        <v>0</v>
      </c>
      <c r="AR255" s="137" t="s">
        <v>206</v>
      </c>
      <c r="AT255" s="137" t="s">
        <v>144</v>
      </c>
      <c r="AU255" s="137" t="s">
        <v>143</v>
      </c>
      <c r="AY255" s="15" t="s">
        <v>141</v>
      </c>
      <c r="BE255" s="138">
        <f>IF(N255="základní",J255,0)</f>
        <v>0</v>
      </c>
      <c r="BF255" s="138">
        <f>IF(N255="snížená",J255,0)</f>
        <v>1400</v>
      </c>
      <c r="BG255" s="138">
        <f>IF(N255="zákl. přenesená",J255,0)</f>
        <v>0</v>
      </c>
      <c r="BH255" s="138">
        <f>IF(N255="sníž. přenesená",J255,0)</f>
        <v>0</v>
      </c>
      <c r="BI255" s="138">
        <f>IF(N255="nulová",J255,0)</f>
        <v>0</v>
      </c>
      <c r="BJ255" s="15" t="s">
        <v>143</v>
      </c>
      <c r="BK255" s="138">
        <f>ROUND(I255*H255,2)</f>
        <v>1400</v>
      </c>
      <c r="BL255" s="15" t="s">
        <v>206</v>
      </c>
      <c r="BM255" s="137" t="s">
        <v>1752</v>
      </c>
    </row>
    <row r="256" spans="2:65" s="1" customFormat="1" ht="44.25" customHeight="1">
      <c r="B256" s="126"/>
      <c r="C256" s="127" t="s">
        <v>562</v>
      </c>
      <c r="D256" s="127" t="s">
        <v>144</v>
      </c>
      <c r="E256" s="128" t="s">
        <v>1443</v>
      </c>
      <c r="F256" s="129" t="s">
        <v>1442</v>
      </c>
      <c r="G256" s="130" t="s">
        <v>179</v>
      </c>
      <c r="H256" s="131">
        <v>6.0000000000000001E-3</v>
      </c>
      <c r="I256" s="132">
        <v>1900</v>
      </c>
      <c r="J256" s="132">
        <f>ROUND(I256*H256,2)</f>
        <v>11.4</v>
      </c>
      <c r="K256" s="129" t="s">
        <v>148</v>
      </c>
      <c r="L256" s="27"/>
      <c r="M256" s="133" t="s">
        <v>1</v>
      </c>
      <c r="N256" s="134" t="s">
        <v>39</v>
      </c>
      <c r="O256" s="135">
        <v>4.0430000000000001</v>
      </c>
      <c r="P256" s="135">
        <f>O256*H256</f>
        <v>2.4258000000000002E-2</v>
      </c>
      <c r="Q256" s="135">
        <v>0</v>
      </c>
      <c r="R256" s="135">
        <f>Q256*H256</f>
        <v>0</v>
      </c>
      <c r="S256" s="135">
        <v>0</v>
      </c>
      <c r="T256" s="136">
        <f>S256*H256</f>
        <v>0</v>
      </c>
      <c r="AR256" s="137" t="s">
        <v>206</v>
      </c>
      <c r="AT256" s="137" t="s">
        <v>144</v>
      </c>
      <c r="AU256" s="137" t="s">
        <v>143</v>
      </c>
      <c r="AY256" s="15" t="s">
        <v>141</v>
      </c>
      <c r="BE256" s="138">
        <f>IF(N256="základní",J256,0)</f>
        <v>0</v>
      </c>
      <c r="BF256" s="138">
        <f>IF(N256="snížená",J256,0)</f>
        <v>11.4</v>
      </c>
      <c r="BG256" s="138">
        <f>IF(N256="zákl. přenesená",J256,0)</f>
        <v>0</v>
      </c>
      <c r="BH256" s="138">
        <f>IF(N256="sníž. přenesená",J256,0)</f>
        <v>0</v>
      </c>
      <c r="BI256" s="138">
        <f>IF(N256="nulová",J256,0)</f>
        <v>0</v>
      </c>
      <c r="BJ256" s="15" t="s">
        <v>143</v>
      </c>
      <c r="BK256" s="138">
        <f>ROUND(I256*H256,2)</f>
        <v>11.4</v>
      </c>
      <c r="BL256" s="15" t="s">
        <v>206</v>
      </c>
      <c r="BM256" s="137" t="s">
        <v>1751</v>
      </c>
    </row>
    <row r="257" spans="2:65" s="11" customFormat="1" ht="22.9" customHeight="1">
      <c r="B257" s="115"/>
      <c r="D257" s="116" t="s">
        <v>72</v>
      </c>
      <c r="E257" s="124" t="s">
        <v>1390</v>
      </c>
      <c r="F257" s="124" t="s">
        <v>1389</v>
      </c>
      <c r="J257" s="125">
        <f>BK257</f>
        <v>9223.2999999999993</v>
      </c>
      <c r="L257" s="115"/>
      <c r="M257" s="119"/>
      <c r="P257" s="120">
        <f>SUM(P258:P263)</f>
        <v>1.7769999999999999</v>
      </c>
      <c r="R257" s="120">
        <f>SUM(R258:R263)</f>
        <v>5.5399999999999998E-3</v>
      </c>
      <c r="T257" s="121">
        <f>SUM(T258:T263)</f>
        <v>0</v>
      </c>
      <c r="AR257" s="116" t="s">
        <v>143</v>
      </c>
      <c r="AT257" s="122" t="s">
        <v>72</v>
      </c>
      <c r="AU257" s="122" t="s">
        <v>81</v>
      </c>
      <c r="AY257" s="116" t="s">
        <v>141</v>
      </c>
      <c r="BK257" s="123">
        <f>SUM(BK258:BK263)</f>
        <v>9223.2999999999993</v>
      </c>
    </row>
    <row r="258" spans="2:65" s="1" customFormat="1" ht="24.2" customHeight="1">
      <c r="B258" s="126"/>
      <c r="C258" s="127" t="s">
        <v>569</v>
      </c>
      <c r="D258" s="127" t="s">
        <v>144</v>
      </c>
      <c r="E258" s="128" t="s">
        <v>1750</v>
      </c>
      <c r="F258" s="129" t="s">
        <v>1749</v>
      </c>
      <c r="G258" s="130" t="s">
        <v>147</v>
      </c>
      <c r="H258" s="131">
        <v>4</v>
      </c>
      <c r="I258" s="132">
        <v>1670</v>
      </c>
      <c r="J258" s="132">
        <f t="shared" ref="J258:J263" si="40">ROUND(I258*H258,2)</f>
        <v>6680</v>
      </c>
      <c r="K258" s="129" t="s">
        <v>1</v>
      </c>
      <c r="L258" s="27"/>
      <c r="M258" s="133" t="s">
        <v>1</v>
      </c>
      <c r="N258" s="134" t="s">
        <v>39</v>
      </c>
      <c r="O258" s="135">
        <v>0.20599999999999999</v>
      </c>
      <c r="P258" s="135">
        <f t="shared" ref="P258:P263" si="41">O258*H258</f>
        <v>0.82399999999999995</v>
      </c>
      <c r="Q258" s="135">
        <v>5.1999999999999995E-4</v>
      </c>
      <c r="R258" s="135">
        <f t="shared" ref="R258:R263" si="42">Q258*H258</f>
        <v>2.0799999999999998E-3</v>
      </c>
      <c r="S258" s="135">
        <v>0</v>
      </c>
      <c r="T258" s="136">
        <f t="shared" ref="T258:T263" si="43">S258*H258</f>
        <v>0</v>
      </c>
      <c r="AR258" s="137" t="s">
        <v>206</v>
      </c>
      <c r="AT258" s="137" t="s">
        <v>144</v>
      </c>
      <c r="AU258" s="137" t="s">
        <v>143</v>
      </c>
      <c r="AY258" s="15" t="s">
        <v>141</v>
      </c>
      <c r="BE258" s="138">
        <f t="shared" ref="BE258:BE263" si="44">IF(N258="základní",J258,0)</f>
        <v>0</v>
      </c>
      <c r="BF258" s="138">
        <f t="shared" ref="BF258:BF263" si="45">IF(N258="snížená",J258,0)</f>
        <v>6680</v>
      </c>
      <c r="BG258" s="138">
        <f t="shared" ref="BG258:BG263" si="46">IF(N258="zákl. přenesená",J258,0)</f>
        <v>0</v>
      </c>
      <c r="BH258" s="138">
        <f t="shared" ref="BH258:BH263" si="47">IF(N258="sníž. přenesená",J258,0)</f>
        <v>0</v>
      </c>
      <c r="BI258" s="138">
        <f t="shared" ref="BI258:BI263" si="48">IF(N258="nulová",J258,0)</f>
        <v>0</v>
      </c>
      <c r="BJ258" s="15" t="s">
        <v>143</v>
      </c>
      <c r="BK258" s="138">
        <f t="shared" ref="BK258:BK263" si="49">ROUND(I258*H258,2)</f>
        <v>6680</v>
      </c>
      <c r="BL258" s="15" t="s">
        <v>206</v>
      </c>
      <c r="BM258" s="137" t="s">
        <v>1748</v>
      </c>
    </row>
    <row r="259" spans="2:65" s="1" customFormat="1" ht="21.75" customHeight="1">
      <c r="B259" s="126"/>
      <c r="C259" s="127" t="s">
        <v>573</v>
      </c>
      <c r="D259" s="127" t="s">
        <v>144</v>
      </c>
      <c r="E259" s="128" t="s">
        <v>1747</v>
      </c>
      <c r="F259" s="129" t="s">
        <v>1746</v>
      </c>
      <c r="G259" s="130" t="s">
        <v>147</v>
      </c>
      <c r="H259" s="131">
        <v>1</v>
      </c>
      <c r="I259" s="132">
        <v>261</v>
      </c>
      <c r="J259" s="132">
        <f t="shared" si="40"/>
        <v>261</v>
      </c>
      <c r="K259" s="129" t="s">
        <v>148</v>
      </c>
      <c r="L259" s="27"/>
      <c r="M259" s="133" t="s">
        <v>1</v>
      </c>
      <c r="N259" s="134" t="s">
        <v>39</v>
      </c>
      <c r="O259" s="135">
        <v>9.2999999999999999E-2</v>
      </c>
      <c r="P259" s="135">
        <f t="shared" si="41"/>
        <v>9.2999999999999999E-2</v>
      </c>
      <c r="Q259" s="135">
        <v>3.6000000000000002E-4</v>
      </c>
      <c r="R259" s="135">
        <f t="shared" si="42"/>
        <v>3.6000000000000002E-4</v>
      </c>
      <c r="S259" s="135">
        <v>0</v>
      </c>
      <c r="T259" s="136">
        <f t="shared" si="43"/>
        <v>0</v>
      </c>
      <c r="AR259" s="137" t="s">
        <v>206</v>
      </c>
      <c r="AT259" s="137" t="s">
        <v>144</v>
      </c>
      <c r="AU259" s="137" t="s">
        <v>143</v>
      </c>
      <c r="AY259" s="15" t="s">
        <v>141</v>
      </c>
      <c r="BE259" s="138">
        <f t="shared" si="44"/>
        <v>0</v>
      </c>
      <c r="BF259" s="138">
        <f t="shared" si="45"/>
        <v>261</v>
      </c>
      <c r="BG259" s="138">
        <f t="shared" si="46"/>
        <v>0</v>
      </c>
      <c r="BH259" s="138">
        <f t="shared" si="47"/>
        <v>0</v>
      </c>
      <c r="BI259" s="138">
        <f t="shared" si="48"/>
        <v>0</v>
      </c>
      <c r="BJ259" s="15" t="s">
        <v>143</v>
      </c>
      <c r="BK259" s="138">
        <f t="shared" si="49"/>
        <v>261</v>
      </c>
      <c r="BL259" s="15" t="s">
        <v>206</v>
      </c>
      <c r="BM259" s="137" t="s">
        <v>1745</v>
      </c>
    </row>
    <row r="260" spans="2:65" s="1" customFormat="1" ht="21.75" customHeight="1">
      <c r="B260" s="126"/>
      <c r="C260" s="127" t="s">
        <v>576</v>
      </c>
      <c r="D260" s="127" t="s">
        <v>144</v>
      </c>
      <c r="E260" s="128" t="s">
        <v>1370</v>
      </c>
      <c r="F260" s="129" t="s">
        <v>1369</v>
      </c>
      <c r="G260" s="130" t="s">
        <v>147</v>
      </c>
      <c r="H260" s="131">
        <v>2</v>
      </c>
      <c r="I260" s="132">
        <v>371</v>
      </c>
      <c r="J260" s="132">
        <f t="shared" si="40"/>
        <v>742</v>
      </c>
      <c r="K260" s="129" t="s">
        <v>148</v>
      </c>
      <c r="L260" s="27"/>
      <c r="M260" s="133" t="s">
        <v>1</v>
      </c>
      <c r="N260" s="134" t="s">
        <v>39</v>
      </c>
      <c r="O260" s="135">
        <v>0.10299999999999999</v>
      </c>
      <c r="P260" s="135">
        <f t="shared" si="41"/>
        <v>0.20599999999999999</v>
      </c>
      <c r="Q260" s="135">
        <v>4.4000000000000002E-4</v>
      </c>
      <c r="R260" s="135">
        <f t="shared" si="42"/>
        <v>8.8000000000000003E-4</v>
      </c>
      <c r="S260" s="135">
        <v>0</v>
      </c>
      <c r="T260" s="136">
        <f t="shared" si="43"/>
        <v>0</v>
      </c>
      <c r="AR260" s="137" t="s">
        <v>206</v>
      </c>
      <c r="AT260" s="137" t="s">
        <v>144</v>
      </c>
      <c r="AU260" s="137" t="s">
        <v>143</v>
      </c>
      <c r="AY260" s="15" t="s">
        <v>141</v>
      </c>
      <c r="BE260" s="138">
        <f t="shared" si="44"/>
        <v>0</v>
      </c>
      <c r="BF260" s="138">
        <f t="shared" si="45"/>
        <v>742</v>
      </c>
      <c r="BG260" s="138">
        <f t="shared" si="46"/>
        <v>0</v>
      </c>
      <c r="BH260" s="138">
        <f t="shared" si="47"/>
        <v>0</v>
      </c>
      <c r="BI260" s="138">
        <f t="shared" si="48"/>
        <v>0</v>
      </c>
      <c r="BJ260" s="15" t="s">
        <v>143</v>
      </c>
      <c r="BK260" s="138">
        <f t="shared" si="49"/>
        <v>742</v>
      </c>
      <c r="BL260" s="15" t="s">
        <v>206</v>
      </c>
      <c r="BM260" s="137" t="s">
        <v>1744</v>
      </c>
    </row>
    <row r="261" spans="2:65" s="1" customFormat="1" ht="37.9" customHeight="1">
      <c r="B261" s="126"/>
      <c r="C261" s="127" t="s">
        <v>580</v>
      </c>
      <c r="D261" s="127" t="s">
        <v>144</v>
      </c>
      <c r="E261" s="128" t="s">
        <v>1743</v>
      </c>
      <c r="F261" s="129" t="s">
        <v>1742</v>
      </c>
      <c r="G261" s="130" t="s">
        <v>147</v>
      </c>
      <c r="H261" s="131">
        <v>1</v>
      </c>
      <c r="I261" s="132">
        <v>1160</v>
      </c>
      <c r="J261" s="132">
        <f t="shared" si="40"/>
        <v>1160</v>
      </c>
      <c r="K261" s="129" t="s">
        <v>148</v>
      </c>
      <c r="L261" s="27"/>
      <c r="M261" s="133" t="s">
        <v>1</v>
      </c>
      <c r="N261" s="134" t="s">
        <v>39</v>
      </c>
      <c r="O261" s="135">
        <v>0.433</v>
      </c>
      <c r="P261" s="135">
        <f t="shared" si="41"/>
        <v>0.433</v>
      </c>
      <c r="Q261" s="135">
        <v>1.47E-3</v>
      </c>
      <c r="R261" s="135">
        <f t="shared" si="42"/>
        <v>1.47E-3</v>
      </c>
      <c r="S261" s="135">
        <v>0</v>
      </c>
      <c r="T261" s="136">
        <f t="shared" si="43"/>
        <v>0</v>
      </c>
      <c r="AR261" s="137" t="s">
        <v>206</v>
      </c>
      <c r="AT261" s="137" t="s">
        <v>144</v>
      </c>
      <c r="AU261" s="137" t="s">
        <v>143</v>
      </c>
      <c r="AY261" s="15" t="s">
        <v>141</v>
      </c>
      <c r="BE261" s="138">
        <f t="shared" si="44"/>
        <v>0</v>
      </c>
      <c r="BF261" s="138">
        <f t="shared" si="45"/>
        <v>1160</v>
      </c>
      <c r="BG261" s="138">
        <f t="shared" si="46"/>
        <v>0</v>
      </c>
      <c r="BH261" s="138">
        <f t="shared" si="47"/>
        <v>0</v>
      </c>
      <c r="BI261" s="138">
        <f t="shared" si="48"/>
        <v>0</v>
      </c>
      <c r="BJ261" s="15" t="s">
        <v>143</v>
      </c>
      <c r="BK261" s="138">
        <f t="shared" si="49"/>
        <v>1160</v>
      </c>
      <c r="BL261" s="15" t="s">
        <v>206</v>
      </c>
      <c r="BM261" s="137" t="s">
        <v>1741</v>
      </c>
    </row>
    <row r="262" spans="2:65" s="1" customFormat="1" ht="24.2" customHeight="1">
      <c r="B262" s="126"/>
      <c r="C262" s="127" t="s">
        <v>583</v>
      </c>
      <c r="D262" s="127" t="s">
        <v>144</v>
      </c>
      <c r="E262" s="128" t="s">
        <v>1328</v>
      </c>
      <c r="F262" s="129" t="s">
        <v>1327</v>
      </c>
      <c r="G262" s="130" t="s">
        <v>147</v>
      </c>
      <c r="H262" s="131">
        <v>1</v>
      </c>
      <c r="I262" s="132">
        <v>374</v>
      </c>
      <c r="J262" s="132">
        <f t="shared" si="40"/>
        <v>374</v>
      </c>
      <c r="K262" s="129" t="s">
        <v>148</v>
      </c>
      <c r="L262" s="27"/>
      <c r="M262" s="133" t="s">
        <v>1</v>
      </c>
      <c r="N262" s="134" t="s">
        <v>39</v>
      </c>
      <c r="O262" s="135">
        <v>0.20599999999999999</v>
      </c>
      <c r="P262" s="135">
        <f t="shared" si="41"/>
        <v>0.20599999999999999</v>
      </c>
      <c r="Q262" s="135">
        <v>7.5000000000000002E-4</v>
      </c>
      <c r="R262" s="135">
        <f t="shared" si="42"/>
        <v>7.5000000000000002E-4</v>
      </c>
      <c r="S262" s="135">
        <v>0</v>
      </c>
      <c r="T262" s="136">
        <f t="shared" si="43"/>
        <v>0</v>
      </c>
      <c r="AR262" s="137" t="s">
        <v>206</v>
      </c>
      <c r="AT262" s="137" t="s">
        <v>144</v>
      </c>
      <c r="AU262" s="137" t="s">
        <v>143</v>
      </c>
      <c r="AY262" s="15" t="s">
        <v>141</v>
      </c>
      <c r="BE262" s="138">
        <f t="shared" si="44"/>
        <v>0</v>
      </c>
      <c r="BF262" s="138">
        <f t="shared" si="45"/>
        <v>374</v>
      </c>
      <c r="BG262" s="138">
        <f t="shared" si="46"/>
        <v>0</v>
      </c>
      <c r="BH262" s="138">
        <f t="shared" si="47"/>
        <v>0</v>
      </c>
      <c r="BI262" s="138">
        <f t="shared" si="48"/>
        <v>0</v>
      </c>
      <c r="BJ262" s="15" t="s">
        <v>143</v>
      </c>
      <c r="BK262" s="138">
        <f t="shared" si="49"/>
        <v>374</v>
      </c>
      <c r="BL262" s="15" t="s">
        <v>206</v>
      </c>
      <c r="BM262" s="137" t="s">
        <v>1740</v>
      </c>
    </row>
    <row r="263" spans="2:65" s="1" customFormat="1" ht="44.25" customHeight="1">
      <c r="B263" s="126"/>
      <c r="C263" s="127" t="s">
        <v>587</v>
      </c>
      <c r="D263" s="127" t="s">
        <v>144</v>
      </c>
      <c r="E263" s="128" t="s">
        <v>1325</v>
      </c>
      <c r="F263" s="129" t="s">
        <v>1324</v>
      </c>
      <c r="G263" s="130" t="s">
        <v>179</v>
      </c>
      <c r="H263" s="131">
        <v>6.0000000000000001E-3</v>
      </c>
      <c r="I263" s="132">
        <v>1050</v>
      </c>
      <c r="J263" s="132">
        <f t="shared" si="40"/>
        <v>6.3</v>
      </c>
      <c r="K263" s="129" t="s">
        <v>148</v>
      </c>
      <c r="L263" s="27"/>
      <c r="M263" s="133" t="s">
        <v>1</v>
      </c>
      <c r="N263" s="134" t="s">
        <v>39</v>
      </c>
      <c r="O263" s="135">
        <v>2.5</v>
      </c>
      <c r="P263" s="135">
        <f t="shared" si="41"/>
        <v>1.4999999999999999E-2</v>
      </c>
      <c r="Q263" s="135">
        <v>0</v>
      </c>
      <c r="R263" s="135">
        <f t="shared" si="42"/>
        <v>0</v>
      </c>
      <c r="S263" s="135">
        <v>0</v>
      </c>
      <c r="T263" s="136">
        <f t="shared" si="43"/>
        <v>0</v>
      </c>
      <c r="AR263" s="137" t="s">
        <v>206</v>
      </c>
      <c r="AT263" s="137" t="s">
        <v>144</v>
      </c>
      <c r="AU263" s="137" t="s">
        <v>143</v>
      </c>
      <c r="AY263" s="15" t="s">
        <v>141</v>
      </c>
      <c r="BE263" s="138">
        <f t="shared" si="44"/>
        <v>0</v>
      </c>
      <c r="BF263" s="138">
        <f t="shared" si="45"/>
        <v>6.3</v>
      </c>
      <c r="BG263" s="138">
        <f t="shared" si="46"/>
        <v>0</v>
      </c>
      <c r="BH263" s="138">
        <f t="shared" si="47"/>
        <v>0</v>
      </c>
      <c r="BI263" s="138">
        <f t="shared" si="48"/>
        <v>0</v>
      </c>
      <c r="BJ263" s="15" t="s">
        <v>143</v>
      </c>
      <c r="BK263" s="138">
        <f t="shared" si="49"/>
        <v>6.3</v>
      </c>
      <c r="BL263" s="15" t="s">
        <v>206</v>
      </c>
      <c r="BM263" s="137" t="s">
        <v>1739</v>
      </c>
    </row>
    <row r="264" spans="2:65" s="11" customFormat="1" ht="25.9" customHeight="1">
      <c r="B264" s="115"/>
      <c r="D264" s="116" t="s">
        <v>72</v>
      </c>
      <c r="E264" s="117" t="s">
        <v>1251</v>
      </c>
      <c r="F264" s="117" t="s">
        <v>1250</v>
      </c>
      <c r="J264" s="118">
        <f>BK264</f>
        <v>26700</v>
      </c>
      <c r="L264" s="115"/>
      <c r="M264" s="119"/>
      <c r="P264" s="120">
        <f>P265</f>
        <v>50</v>
      </c>
      <c r="R264" s="120">
        <f>R265</f>
        <v>0</v>
      </c>
      <c r="T264" s="121">
        <f>T265</f>
        <v>0</v>
      </c>
      <c r="AR264" s="116" t="s">
        <v>149</v>
      </c>
      <c r="AT264" s="122" t="s">
        <v>72</v>
      </c>
      <c r="AU264" s="122" t="s">
        <v>73</v>
      </c>
      <c r="AY264" s="116" t="s">
        <v>141</v>
      </c>
      <c r="BK264" s="123">
        <f>BK265</f>
        <v>26700</v>
      </c>
    </row>
    <row r="265" spans="2:65" s="1" customFormat="1" ht="24.2" customHeight="1">
      <c r="B265" s="126"/>
      <c r="C265" s="127" t="s">
        <v>592</v>
      </c>
      <c r="D265" s="127" t="s">
        <v>144</v>
      </c>
      <c r="E265" s="128" t="s">
        <v>1249</v>
      </c>
      <c r="F265" s="129" t="s">
        <v>1248</v>
      </c>
      <c r="G265" s="130" t="s">
        <v>1247</v>
      </c>
      <c r="H265" s="131">
        <v>50</v>
      </c>
      <c r="I265" s="132">
        <v>534</v>
      </c>
      <c r="J265" s="132">
        <f>ROUND(I265*H265,2)</f>
        <v>26700</v>
      </c>
      <c r="K265" s="129" t="s">
        <v>148</v>
      </c>
      <c r="L265" s="27"/>
      <c r="M265" s="155" t="s">
        <v>1</v>
      </c>
      <c r="N265" s="156" t="s">
        <v>39</v>
      </c>
      <c r="O265" s="157">
        <v>1</v>
      </c>
      <c r="P265" s="157">
        <f>O265*H265</f>
        <v>50</v>
      </c>
      <c r="Q265" s="157">
        <v>0</v>
      </c>
      <c r="R265" s="157">
        <f>Q265*H265</f>
        <v>0</v>
      </c>
      <c r="S265" s="157">
        <v>0</v>
      </c>
      <c r="T265" s="158">
        <f>S265*H265</f>
        <v>0</v>
      </c>
      <c r="AR265" s="137" t="s">
        <v>1246</v>
      </c>
      <c r="AT265" s="137" t="s">
        <v>144</v>
      </c>
      <c r="AU265" s="137" t="s">
        <v>81</v>
      </c>
      <c r="AY265" s="15" t="s">
        <v>141</v>
      </c>
      <c r="BE265" s="138">
        <f>IF(N265="základní",J265,0)</f>
        <v>0</v>
      </c>
      <c r="BF265" s="138">
        <f>IF(N265="snížená",J265,0)</f>
        <v>26700</v>
      </c>
      <c r="BG265" s="138">
        <f>IF(N265="zákl. přenesená",J265,0)</f>
        <v>0</v>
      </c>
      <c r="BH265" s="138">
        <f>IF(N265="sníž. přenesená",J265,0)</f>
        <v>0</v>
      </c>
      <c r="BI265" s="138">
        <f>IF(N265="nulová",J265,0)</f>
        <v>0</v>
      </c>
      <c r="BJ265" s="15" t="s">
        <v>143</v>
      </c>
      <c r="BK265" s="138">
        <f>ROUND(I265*H265,2)</f>
        <v>26700</v>
      </c>
      <c r="BL265" s="15" t="s">
        <v>1246</v>
      </c>
      <c r="BM265" s="137" t="s">
        <v>1738</v>
      </c>
    </row>
    <row r="266" spans="2:65" s="1" customFormat="1" ht="6.95" customHeight="1">
      <c r="B266" s="39"/>
      <c r="C266" s="40"/>
      <c r="D266" s="40"/>
      <c r="E266" s="40"/>
      <c r="F266" s="40"/>
      <c r="G266" s="40"/>
      <c r="H266" s="40"/>
      <c r="I266" s="40"/>
      <c r="J266" s="40"/>
      <c r="K266" s="40"/>
      <c r="L266" s="27"/>
    </row>
  </sheetData>
  <autoFilter ref="C127:K265" xr:uid="{00000000-0009-0000-0000-000006000000}"/>
  <mergeCells count="9">
    <mergeCell ref="E87:H87"/>
    <mergeCell ref="E118:H118"/>
    <mergeCell ref="E120:H120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13</vt:i4>
      </vt:variant>
      <vt:variant>
        <vt:lpstr>Pojmenované oblasti</vt:lpstr>
      </vt:variant>
      <vt:variant>
        <vt:i4>58</vt:i4>
      </vt:variant>
    </vt:vector>
  </HeadingPairs>
  <TitlesOfParts>
    <vt:vector size="71" baseType="lpstr">
      <vt:lpstr>Rekapitulace stavby</vt:lpstr>
      <vt:lpstr>JC-A - Objekt A</vt:lpstr>
      <vt:lpstr>Objekt A - e - Zdravotní ...</vt:lpstr>
      <vt:lpstr>Objekt A - a - Vytápění</vt:lpstr>
      <vt:lpstr>Objekt A - c - Vzduchotec...</vt:lpstr>
      <vt:lpstr>EL-A</vt:lpstr>
      <vt:lpstr>Objekt A,B - Vodovodní př...</vt:lpstr>
      <vt:lpstr>JC-B - Objekt B</vt:lpstr>
      <vt:lpstr>Objekt B - e - Zdravotní ...</vt:lpstr>
      <vt:lpstr>Objekt  B - a - Vytápění</vt:lpstr>
      <vt:lpstr>Objekt B - c - Vzduchotec...</vt:lpstr>
      <vt:lpstr>EL-B</vt:lpstr>
      <vt:lpstr>JC-C - SO-03-Zpevněné plochy</vt:lpstr>
      <vt:lpstr>'JC-A - Objekt A'!Názvy_tisku</vt:lpstr>
      <vt:lpstr>'JC-B - Objekt B'!Názvy_tisku</vt:lpstr>
      <vt:lpstr>'JC-C - SO-03-Zpevněné plochy'!Názvy_tisku</vt:lpstr>
      <vt:lpstr>'Objekt  B - a - Vytápění'!Názvy_tisku</vt:lpstr>
      <vt:lpstr>'Objekt A - a - Vytápění'!Názvy_tisku</vt:lpstr>
      <vt:lpstr>'Objekt A - c - Vzduchotec...'!Názvy_tisku</vt:lpstr>
      <vt:lpstr>'Objekt A - e - Zdravotní ...'!Názvy_tisku</vt:lpstr>
      <vt:lpstr>'Objekt A,B - Vodovodní př...'!Názvy_tisku</vt:lpstr>
      <vt:lpstr>'Objekt B - c - Vzduchotec...'!Názvy_tisku</vt:lpstr>
      <vt:lpstr>'Objekt B - e - Zdravotní ...'!Názvy_tisku</vt:lpstr>
      <vt:lpstr>'Rekapitulace stavby'!Názvy_tisku</vt:lpstr>
      <vt:lpstr>'EL-A'!Oblast_tisku</vt:lpstr>
      <vt:lpstr>'EL-B'!Oblast_tisku</vt:lpstr>
      <vt:lpstr>'JC-A - Objekt A'!Oblast_tisku</vt:lpstr>
      <vt:lpstr>'JC-B - Objekt B'!Oblast_tisku</vt:lpstr>
      <vt:lpstr>'JC-C - SO-03-Zpevněné plochy'!Oblast_tisku</vt:lpstr>
      <vt:lpstr>'Objekt  B - a - Vytápění'!Oblast_tisku</vt:lpstr>
      <vt:lpstr>'Objekt A - a - Vytápění'!Oblast_tisku</vt:lpstr>
      <vt:lpstr>'Objekt A - c - Vzduchotec...'!Oblast_tisku</vt:lpstr>
      <vt:lpstr>'Objekt A - e - Zdravotní ...'!Oblast_tisku</vt:lpstr>
      <vt:lpstr>'Objekt A,B - Vodovodní př...'!Oblast_tisku</vt:lpstr>
      <vt:lpstr>'Objekt B - c - Vzduchotec...'!Oblast_tisku</vt:lpstr>
      <vt:lpstr>'Objekt B - e - Zdravotní ...'!Oblast_tisku</vt:lpstr>
      <vt:lpstr>'Rekapitulace stavby'!Oblast_tisku</vt:lpstr>
      <vt:lpstr>'EL-A'!Rozpočet1</vt:lpstr>
      <vt:lpstr>'EL-B'!Rozpočet1</vt:lpstr>
      <vt:lpstr>'EL-A'!Rozpočet1_100</vt:lpstr>
      <vt:lpstr>'EL-B'!Rozpočet1_100</vt:lpstr>
      <vt:lpstr>'EL-A'!Rozpočet1_101</vt:lpstr>
      <vt:lpstr>'EL-A'!Rozpočet1_109</vt:lpstr>
      <vt:lpstr>'EL-B'!Rozpočet1_109</vt:lpstr>
      <vt:lpstr>'EL-A'!Rozpočet1_117</vt:lpstr>
      <vt:lpstr>'EL-B'!Rozpočet1_117</vt:lpstr>
      <vt:lpstr>'EL-A'!Rozpočet1_118</vt:lpstr>
      <vt:lpstr>'EL-A'!Rozpočet1_119</vt:lpstr>
      <vt:lpstr>'EL-A'!Rozpočet1_120</vt:lpstr>
      <vt:lpstr>'EL-B'!Rozpočet1_121</vt:lpstr>
      <vt:lpstr>'EL-B'!Rozpočet1_122</vt:lpstr>
      <vt:lpstr>'EL-B'!Rozpočet1_123</vt:lpstr>
      <vt:lpstr>'EL-B'!Rozpočet1_124</vt:lpstr>
      <vt:lpstr>'EL-A'!Rozpočet1_125</vt:lpstr>
      <vt:lpstr>'EL-B'!Rozpočet1_125</vt:lpstr>
      <vt:lpstr>'EL-A'!Rozpočet1_126</vt:lpstr>
      <vt:lpstr>'EL-B'!Rozpočet1_126</vt:lpstr>
      <vt:lpstr>'EL-A'!Rozpočet1_127</vt:lpstr>
      <vt:lpstr>'EL-B'!Rozpočet1_127</vt:lpstr>
      <vt:lpstr>'EL-A'!Rozpočet1_42</vt:lpstr>
      <vt:lpstr>'EL-B'!Rozpočet1_42</vt:lpstr>
      <vt:lpstr>'EL-A'!Rozpočet1_78</vt:lpstr>
      <vt:lpstr>'EL-B'!Rozpočet1_78</vt:lpstr>
      <vt:lpstr>'EL-A'!Rozpočet1_81</vt:lpstr>
      <vt:lpstr>'EL-B'!Rozpočet1_81</vt:lpstr>
      <vt:lpstr>'EL-A'!Rozpočet1_92</vt:lpstr>
      <vt:lpstr>'EL-B'!Rozpočet1_92</vt:lpstr>
      <vt:lpstr>'EL-A'!Rozpočet1_93</vt:lpstr>
      <vt:lpstr>'EL-B'!Rozpočet1_93</vt:lpstr>
      <vt:lpstr>'EL-A'!Rozpočet1_95</vt:lpstr>
      <vt:lpstr>'EL-B'!Rozpočet1_95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MICHÁLEK\Michálek</dc:creator>
  <cp:lastModifiedBy>JN rozpočty</cp:lastModifiedBy>
  <dcterms:created xsi:type="dcterms:W3CDTF">2022-12-22T13:09:06Z</dcterms:created>
  <dcterms:modified xsi:type="dcterms:W3CDTF">2023-03-06T08:25:54Z</dcterms:modified>
</cp:coreProperties>
</file>